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3C41B2F-B39D-4AE3-98C0-4E5838358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ryCheckHome" sheetId="1" r:id="rId1"/>
    <sheet name="Sheet2" sheetId="4" r:id="rId2"/>
    <sheet name="Sheet3" sheetId="5" r:id="rId3"/>
  </sheets>
  <definedNames>
    <definedName name="Degree">SalaryCheckHome!$E$16:$E$19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5" i="4"/>
  <c r="E5" i="4"/>
  <c r="D5" i="4"/>
  <c r="C5" i="4"/>
  <c r="F34" i="5"/>
  <c r="E34" i="5"/>
  <c r="D34" i="5"/>
  <c r="C34" i="5"/>
  <c r="F32" i="5"/>
  <c r="E32" i="5"/>
  <c r="D32" i="5"/>
  <c r="C32" i="5"/>
  <c r="P31" i="5"/>
  <c r="O31" i="5"/>
  <c r="N31" i="5"/>
  <c r="M31" i="5"/>
  <c r="L31" i="5" s="1"/>
  <c r="F31" i="5"/>
  <c r="E31" i="5"/>
  <c r="D31" i="5"/>
  <c r="C31" i="5"/>
  <c r="S30" i="5"/>
  <c r="P30" i="5"/>
  <c r="O30" i="5"/>
  <c r="N30" i="5"/>
  <c r="M30" i="5"/>
  <c r="F29" i="5"/>
  <c r="E29" i="5"/>
  <c r="D29" i="5"/>
  <c r="C29" i="5"/>
  <c r="F28" i="5"/>
  <c r="E28" i="5"/>
  <c r="D28" i="5"/>
  <c r="C28" i="5"/>
  <c r="F27" i="5"/>
  <c r="E27" i="5"/>
  <c r="D27" i="5"/>
  <c r="C27" i="5"/>
  <c r="P26" i="5"/>
  <c r="O26" i="5"/>
  <c r="N26" i="5"/>
  <c r="M26" i="5"/>
  <c r="P25" i="5"/>
  <c r="O25" i="5"/>
  <c r="N25" i="5"/>
  <c r="M25" i="5"/>
  <c r="F25" i="5"/>
  <c r="E25" i="5"/>
  <c r="D25" i="5"/>
  <c r="C25" i="5"/>
  <c r="L24" i="5"/>
  <c r="L17" i="5"/>
  <c r="L19" i="5" s="1"/>
  <c r="L14" i="5"/>
  <c r="L35" i="5" s="1"/>
  <c r="L13" i="5"/>
  <c r="L34" i="5" s="1"/>
  <c r="P10" i="5"/>
  <c r="O10" i="5"/>
  <c r="N10" i="5"/>
  <c r="M10" i="5"/>
  <c r="R9" i="5"/>
  <c r="T30" i="5" s="1"/>
  <c r="U30" i="5" s="1"/>
  <c r="V30" i="5" s="1"/>
  <c r="R30" i="5" s="1"/>
  <c r="P9" i="5"/>
  <c r="O9" i="5"/>
  <c r="N9" i="5"/>
  <c r="M9" i="5"/>
  <c r="Q9" i="5" s="1"/>
  <c r="L9" i="5" s="1"/>
  <c r="P7" i="5"/>
  <c r="O7" i="5"/>
  <c r="N7" i="5"/>
  <c r="M7" i="5"/>
  <c r="R6" i="5"/>
  <c r="P6" i="5"/>
  <c r="O6" i="5"/>
  <c r="N6" i="5"/>
  <c r="M6" i="5"/>
  <c r="P5" i="5"/>
  <c r="O5" i="5"/>
  <c r="N5" i="5"/>
  <c r="M5" i="5"/>
  <c r="F5" i="5"/>
  <c r="E5" i="5"/>
  <c r="D5" i="5"/>
  <c r="C5" i="5"/>
  <c r="C2" i="5" s="1"/>
  <c r="P4" i="5"/>
  <c r="O4" i="5"/>
  <c r="N4" i="5"/>
  <c r="M4" i="5"/>
  <c r="L24" i="4"/>
  <c r="C2" i="4"/>
  <c r="Q30" i="5" l="1"/>
  <c r="Q6" i="5"/>
  <c r="L6" i="5" s="1"/>
  <c r="L10" i="5"/>
  <c r="L11" i="5" s="1"/>
  <c r="L5" i="5"/>
  <c r="Q7" i="5"/>
  <c r="L26" i="5"/>
  <c r="L4" i="5"/>
  <c r="L25" i="5"/>
  <c r="L30" i="5"/>
  <c r="L32" i="5"/>
  <c r="R7" i="5"/>
  <c r="L27" i="5"/>
  <c r="F25" i="4"/>
  <c r="E25" i="4"/>
  <c r="D25" i="4"/>
  <c r="C25" i="4"/>
  <c r="L7" i="5" l="1"/>
  <c r="L8" i="5" s="1"/>
  <c r="L12" i="5" s="1"/>
  <c r="L15" i="5" s="1"/>
  <c r="L18" i="5" s="1"/>
  <c r="L20" i="5" s="1"/>
  <c r="R9" i="4"/>
  <c r="M20" i="5" l="1"/>
  <c r="L28" i="5"/>
  <c r="L29" i="5" s="1"/>
  <c r="L33" i="5" s="1"/>
  <c r="L36" i="5" s="1"/>
  <c r="L41" i="5" s="1"/>
  <c r="G34" i="1"/>
  <c r="S30" i="4"/>
  <c r="T30" i="4" s="1"/>
  <c r="U30" i="4" s="1"/>
  <c r="V30" i="4" s="1"/>
  <c r="P31" i="4"/>
  <c r="O31" i="4"/>
  <c r="P30" i="4"/>
  <c r="O30" i="4"/>
  <c r="M30" i="4"/>
  <c r="P26" i="4"/>
  <c r="O26" i="4"/>
  <c r="P25" i="4"/>
  <c r="O25" i="4"/>
  <c r="M25" i="4"/>
  <c r="C27" i="4"/>
  <c r="M26" i="4" s="1"/>
  <c r="D27" i="4"/>
  <c r="N26" i="4" s="1"/>
  <c r="E27" i="4"/>
  <c r="F27" i="4"/>
  <c r="C28" i="4"/>
  <c r="D28" i="4"/>
  <c r="E28" i="4"/>
  <c r="F28" i="4"/>
  <c r="C29" i="4"/>
  <c r="D29" i="4"/>
  <c r="E29" i="4"/>
  <c r="F29" i="4"/>
  <c r="C31" i="4"/>
  <c r="M31" i="4" s="1"/>
  <c r="D31" i="4"/>
  <c r="N31" i="4" s="1"/>
  <c r="E31" i="4"/>
  <c r="F31" i="4"/>
  <c r="C32" i="4"/>
  <c r="D32" i="4"/>
  <c r="N30" i="4" s="1"/>
  <c r="E32" i="4"/>
  <c r="F32" i="4"/>
  <c r="C34" i="4"/>
  <c r="D34" i="4"/>
  <c r="E34" i="4"/>
  <c r="F34" i="4"/>
  <c r="N25" i="4"/>
  <c r="L17" i="4"/>
  <c r="L19" i="4" s="1"/>
  <c r="P10" i="4"/>
  <c r="O10" i="4"/>
  <c r="N10" i="4"/>
  <c r="M10" i="4"/>
  <c r="P9" i="4"/>
  <c r="O9" i="4"/>
  <c r="N9" i="4"/>
  <c r="M9" i="4"/>
  <c r="P7" i="4"/>
  <c r="O7" i="4"/>
  <c r="N7" i="4"/>
  <c r="M7" i="4"/>
  <c r="P6" i="4"/>
  <c r="O6" i="4"/>
  <c r="N6" i="4"/>
  <c r="M6" i="4"/>
  <c r="P5" i="4"/>
  <c r="O5" i="4"/>
  <c r="N5" i="4"/>
  <c r="M5" i="4"/>
  <c r="P4" i="4"/>
  <c r="O4" i="4"/>
  <c r="N4" i="4"/>
  <c r="M4" i="4"/>
  <c r="G45" i="1"/>
  <c r="C45" i="1"/>
  <c r="C34" i="1"/>
  <c r="L14" i="4"/>
  <c r="L35" i="4" s="1"/>
  <c r="L13" i="4"/>
  <c r="L34" i="4" s="1"/>
  <c r="R6" i="4"/>
  <c r="M41" i="5" l="1"/>
  <c r="C48" i="1"/>
  <c r="R30" i="4"/>
  <c r="Q30" i="4"/>
  <c r="L31" i="4"/>
  <c r="L26" i="4"/>
  <c r="Q7" i="4"/>
  <c r="L5" i="4"/>
  <c r="L10" i="4"/>
  <c r="Q6" i="4"/>
  <c r="L6" i="4" s="1"/>
  <c r="L27" i="4" s="1"/>
  <c r="Q9" i="4"/>
  <c r="L9" i="4" s="1"/>
  <c r="L4" i="4"/>
  <c r="L25" i="4"/>
  <c r="R7" i="4" l="1"/>
  <c r="L7" i="4" s="1"/>
  <c r="L28" i="4" s="1"/>
  <c r="L29" i="4" s="1"/>
  <c r="L11" i="4"/>
  <c r="L8" i="4" l="1"/>
  <c r="L12" i="4" s="1"/>
  <c r="L15" i="4" l="1"/>
  <c r="L18" i="4" s="1"/>
  <c r="L20" i="4" s="1"/>
  <c r="C22" i="1" s="1"/>
  <c r="M20" i="4" l="1"/>
  <c r="G22" i="1"/>
  <c r="C31" i="1" l="1"/>
  <c r="G43" i="1"/>
  <c r="L30" i="4"/>
  <c r="L32" i="4" s="1"/>
  <c r="L33" i="4" s="1"/>
  <c r="L36" i="4" l="1"/>
  <c r="L41" i="4" s="1"/>
  <c r="M41" i="4" l="1"/>
  <c r="G48" i="1"/>
</calcChain>
</file>

<file path=xl/sharedStrings.xml><?xml version="1.0" encoding="utf-8"?>
<sst xmlns="http://schemas.openxmlformats.org/spreadsheetml/2006/main" count="203" uniqueCount="71">
  <si>
    <t>Please input information in every highlighted box.</t>
  </si>
  <si>
    <t>Years of Service at Millard</t>
  </si>
  <si>
    <t>Years of Teaching Experience outside Millard</t>
  </si>
  <si>
    <t>Highest Degree</t>
  </si>
  <si>
    <t>BA</t>
  </si>
  <si>
    <t>MA</t>
  </si>
  <si>
    <t>EDSpec</t>
  </si>
  <si>
    <t>Doc</t>
  </si>
  <si>
    <t>Degree Year of Service Value</t>
  </si>
  <si>
    <t>Maximum</t>
  </si>
  <si>
    <t>Outside Years (subject to Maximum)</t>
  </si>
  <si>
    <t>Total Years (subject to maximum)</t>
  </si>
  <si>
    <t>Years of Service Addition</t>
  </si>
  <si>
    <t>Base</t>
  </si>
  <si>
    <t>Graduate Credit Hours</t>
  </si>
  <si>
    <t>Value of Graduate Credit Hours</t>
  </si>
  <si>
    <t>Graduate Credit Hours Addition</t>
  </si>
  <si>
    <t>Total Formula</t>
  </si>
  <si>
    <t>FTE</t>
  </si>
  <si>
    <t>Extra Days</t>
  </si>
  <si>
    <t>Total Salary</t>
  </si>
  <si>
    <t>(from Employee Access Center)</t>
  </si>
  <si>
    <t>(take Total Years minus years in District)</t>
  </si>
  <si>
    <t>Full Time Equivalency (f.t.e.)</t>
  </si>
  <si>
    <t>(do not include extra duties, or any other extra payments in this box)</t>
  </si>
  <si>
    <t xml:space="preserve">      (if yes, please enter the highlighted fields only)</t>
  </si>
  <si>
    <t>(after accounting for anticipated new hours)</t>
  </si>
  <si>
    <t>Percentage Increase</t>
  </si>
  <si>
    <t>If you need to look up your information, click here to visit the Employee Access Center</t>
  </si>
  <si>
    <t xml:space="preserve">     (once logged in, select "Demographic Information" and "Certificate Degree" on the left side of the web page)</t>
  </si>
  <si>
    <t>This sheet is intended to assist you in estimating your salary.  For more specific questions or if you suspect an error in this estimate, please e-mail millardhumanresources@mpsomaha.org and we will respond in the order the questions are received.</t>
  </si>
  <si>
    <t>Base Pay</t>
  </si>
  <si>
    <t>Per Year</t>
  </si>
  <si>
    <t>Max. outside years</t>
  </si>
  <si>
    <t>Max total years</t>
  </si>
  <si>
    <t>Per Hour</t>
  </si>
  <si>
    <t>Max Hours</t>
  </si>
  <si>
    <t>Minimum Raise</t>
  </si>
  <si>
    <t>Pay With One Year</t>
  </si>
  <si>
    <t xml:space="preserve">Degree for Salary </t>
  </si>
  <si>
    <t>Hours to be Credited</t>
  </si>
  <si>
    <t>Hours Submitted</t>
  </si>
  <si>
    <t>Total Graduate Credit Hours Submitted for Salary Advancement</t>
  </si>
  <si>
    <t>Additional Graduate Credit Hours Recognized for Salary Advancement Based on Recognized Interval or Existing Grad Hours Recognized for Salary</t>
  </si>
  <si>
    <t>Grad Credit Hours Recognized For Salary</t>
  </si>
  <si>
    <r>
      <t xml:space="preserve">(after accounting for </t>
    </r>
    <r>
      <rPr>
        <u/>
        <sz val="11"/>
        <color theme="1"/>
        <rFont val="Calibri"/>
        <family val="2"/>
        <scheme val="minor"/>
      </rPr>
      <t xml:space="preserve">all </t>
    </r>
    <r>
      <rPr>
        <sz val="11"/>
        <color theme="1"/>
        <rFont val="Calibri"/>
        <family val="2"/>
        <scheme val="minor"/>
      </rPr>
      <t>current and anticipated new hours)</t>
    </r>
  </si>
  <si>
    <t>Max Additional Hours to be Recognized</t>
  </si>
  <si>
    <t>Additional Hours for Salary</t>
  </si>
  <si>
    <t>Total Grad Hours Submitted</t>
  </si>
  <si>
    <t>18-Hour Cap Check (new hours submitted for school year)</t>
  </si>
  <si>
    <t>Max hours recognized for grad hours per school year</t>
  </si>
  <si>
    <t>2021-22 Salary</t>
  </si>
  <si>
    <t>Extra Contract Days (Subtract 192 from contract days)</t>
  </si>
  <si>
    <t>2022-23</t>
  </si>
  <si>
    <t>2022-23 Formula Salary</t>
  </si>
  <si>
    <t>2022-23 Minimum Raise</t>
  </si>
  <si>
    <t>2022-23 Salary</t>
  </si>
  <si>
    <t>STEP #1 - Base Raise for 2023-24</t>
  </si>
  <si>
    <t>Current 2022-23 Base Salary:</t>
  </si>
  <si>
    <t>(include the 2023-24 year)</t>
  </si>
  <si>
    <t>Year Hired as Teacher at MPS</t>
  </si>
  <si>
    <t>2021-22 Or Prior</t>
  </si>
  <si>
    <r>
      <t>Year Hired as Teacher at MPS BEFORE 2022-23 School Year (</t>
    </r>
    <r>
      <rPr>
        <b/>
        <sz val="11"/>
        <color rgb="FFFF0000"/>
        <rFont val="Calibri"/>
        <family val="2"/>
        <scheme val="minor"/>
      </rPr>
      <t>LIMIT OUTSIDE YEARS</t>
    </r>
    <r>
      <rPr>
        <sz val="11"/>
        <color theme="1"/>
        <rFont val="Calibri"/>
        <family val="2"/>
        <scheme val="minor"/>
      </rPr>
      <t>)</t>
    </r>
  </si>
  <si>
    <r>
      <t>Year Hired as Teacher at MPS 2022-23 School Year (</t>
    </r>
    <r>
      <rPr>
        <b/>
        <sz val="11"/>
        <color rgb="FFFF0000"/>
        <rFont val="Calibri"/>
        <family val="2"/>
        <scheme val="minor"/>
      </rPr>
      <t>EXTRA</t>
    </r>
    <r>
      <rPr>
        <sz val="11"/>
        <color theme="1"/>
        <rFont val="Calibri"/>
        <family val="2"/>
        <scheme val="minor"/>
      </rPr>
      <t xml:space="preserve"> OUTSIDE YEARS)</t>
    </r>
  </si>
  <si>
    <t>2023-24</t>
  </si>
  <si>
    <t>Year Originally Hired as Teacher at MPS</t>
  </si>
  <si>
    <t>STEP #2 - OPTIONAL - are you getting new graduate credit hours for 2023-24?</t>
  </si>
  <si>
    <t>2023-24 Estimated Salary</t>
  </si>
  <si>
    <t>2023-24 Salary Prior to New Hours:</t>
  </si>
  <si>
    <t>In all salary ranges, additional credit hours added during the 2023-24 and subsequent school years will only be calculated/credited at intervals of 9, 18, 27, 36, or 39 hours.  
Only 18 Hours will be recognized for salary advancement per year.</t>
  </si>
  <si>
    <t>2023-24 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</si>
</sst>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 vertical="center"/>
    </xf>
    <xf numFmtId="164" fontId="0" fillId="0" borderId="0" xfId="0" applyNumberFormat="1"/>
    <xf numFmtId="164" fontId="0" fillId="2" borderId="0" xfId="0" applyNumberFormat="1" applyFill="1"/>
    <xf numFmtId="164" fontId="0" fillId="4" borderId="0" xfId="0" applyNumberFormat="1" applyFill="1"/>
    <xf numFmtId="0" fontId="0" fillId="0" borderId="0" xfId="0" applyAlignment="1">
      <alignment horizontal="right"/>
    </xf>
    <xf numFmtId="2" fontId="0" fillId="3" borderId="6" xfId="0" applyNumberFormat="1" applyFill="1" applyBorder="1" applyAlignment="1">
      <alignment horizontal="center"/>
    </xf>
    <xf numFmtId="164" fontId="0" fillId="4" borderId="0" xfId="0" applyNumberFormat="1" applyFill="1" applyBorder="1"/>
    <xf numFmtId="2" fontId="0" fillId="2" borderId="0" xfId="0" applyNumberFormat="1" applyFill="1"/>
    <xf numFmtId="0" fontId="0" fillId="0" borderId="8" xfId="0" applyFill="1" applyBorder="1"/>
    <xf numFmtId="0" fontId="0" fillId="0" borderId="5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0" fontId="0" fillId="0" borderId="0" xfId="0" applyNumberFormat="1"/>
    <xf numFmtId="0" fontId="3" fillId="0" borderId="0" xfId="0" applyFont="1"/>
    <xf numFmtId="0" fontId="4" fillId="0" borderId="0" xfId="0" applyFont="1"/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8" xfId="0" applyFill="1" applyBorder="1" applyAlignment="1">
      <alignment wrapText="1"/>
    </xf>
    <xf numFmtId="0" fontId="0" fillId="0" borderId="3" xfId="0" applyFill="1" applyBorder="1"/>
    <xf numFmtId="164" fontId="0" fillId="0" borderId="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" xfId="0" applyFont="1" applyBorder="1"/>
    <xf numFmtId="164" fontId="5" fillId="0" borderId="6" xfId="0" applyNumberFormat="1" applyFont="1" applyBorder="1"/>
    <xf numFmtId="0" fontId="3" fillId="0" borderId="2" xfId="0" applyFont="1" applyBorder="1"/>
    <xf numFmtId="0" fontId="3" fillId="0" borderId="9" xfId="0" applyFont="1" applyBorder="1"/>
    <xf numFmtId="0" fontId="4" fillId="0" borderId="9" xfId="0" applyFont="1" applyBorder="1"/>
    <xf numFmtId="0" fontId="4" fillId="0" borderId="7" xfId="0" applyFont="1" applyBorder="1"/>
    <xf numFmtId="0" fontId="0" fillId="0" borderId="10" xfId="0" applyBorder="1"/>
    <xf numFmtId="0" fontId="3" fillId="0" borderId="3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4" xfId="0" applyFont="1" applyBorder="1"/>
    <xf numFmtId="164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0" xfId="0" applyFill="1"/>
    <xf numFmtId="0" fontId="6" fillId="0" borderId="0" xfId="0" applyFont="1"/>
    <xf numFmtId="0" fontId="7" fillId="0" borderId="0" xfId="1" applyFon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3" fillId="3" borderId="0" xfId="0" applyFont="1" applyFill="1"/>
    <xf numFmtId="0" fontId="4" fillId="3" borderId="0" xfId="0" applyFont="1" applyFill="1"/>
    <xf numFmtId="0" fontId="0" fillId="0" borderId="1" xfId="0" applyFill="1" applyBorder="1" applyAlignment="1">
      <alignment wrapText="1"/>
    </xf>
    <xf numFmtId="0" fontId="0" fillId="0" borderId="2" xfId="0" applyFill="1" applyBorder="1"/>
    <xf numFmtId="164" fontId="0" fillId="0" borderId="5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left"/>
    </xf>
    <xf numFmtId="164" fontId="0" fillId="0" borderId="5" xfId="0" applyNumberForma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10" fontId="0" fillId="0" borderId="6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y.mpsomah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workbookViewId="0">
      <selection activeCell="B1" sqref="B1:H1"/>
    </sheetView>
  </sheetViews>
  <sheetFormatPr defaultRowHeight="15" x14ac:dyDescent="0.25"/>
  <cols>
    <col min="1" max="1" width="2.5703125" customWidth="1"/>
    <col min="2" max="2" width="33.7109375" customWidth="1"/>
    <col min="3" max="3" width="15.5703125" bestFit="1" customWidth="1"/>
    <col min="5" max="5" width="8.85546875" hidden="1" customWidth="1"/>
    <col min="6" max="6" width="47.28515625" customWidth="1"/>
    <col min="7" max="7" width="16.5703125" style="13" customWidth="1"/>
  </cols>
  <sheetData>
    <row r="1" spans="2:8" s="11" customFormat="1" ht="28.15" customHeight="1" x14ac:dyDescent="0.25">
      <c r="B1" s="85" t="s">
        <v>30</v>
      </c>
      <c r="C1" s="85"/>
      <c r="D1" s="85"/>
      <c r="E1" s="85"/>
      <c r="F1" s="85"/>
      <c r="G1" s="85"/>
      <c r="H1" s="85"/>
    </row>
    <row r="3" spans="2:8" s="27" customFormat="1" ht="18.75" x14ac:dyDescent="0.3">
      <c r="B3" s="68" t="s">
        <v>0</v>
      </c>
      <c r="C3" s="68"/>
      <c r="D3" s="69"/>
      <c r="F3" s="51" t="s">
        <v>28</v>
      </c>
      <c r="G3" s="75"/>
    </row>
    <row r="4" spans="2:8" s="27" customFormat="1" ht="14.25" customHeight="1" x14ac:dyDescent="0.3">
      <c r="B4" s="26"/>
      <c r="C4" s="26"/>
      <c r="F4" s="50" t="s">
        <v>29</v>
      </c>
      <c r="G4" s="75"/>
    </row>
    <row r="5" spans="2:8" s="27" customFormat="1" ht="18.75" x14ac:dyDescent="0.3">
      <c r="B5" s="36" t="s">
        <v>57</v>
      </c>
      <c r="C5" s="37"/>
      <c r="D5" s="38"/>
      <c r="E5" s="38"/>
      <c r="F5" s="38"/>
      <c r="G5" s="76"/>
      <c r="H5" s="39"/>
    </row>
    <row r="6" spans="2:8" x14ac:dyDescent="0.25">
      <c r="B6" s="4"/>
      <c r="C6" s="9"/>
      <c r="D6" s="9"/>
      <c r="E6" s="9"/>
      <c r="F6" s="10"/>
      <c r="G6" s="33"/>
      <c r="H6" s="5"/>
    </row>
    <row r="7" spans="2:8" x14ac:dyDescent="0.25">
      <c r="B7" s="3" t="s">
        <v>58</v>
      </c>
      <c r="C7" s="24">
        <v>42425</v>
      </c>
      <c r="D7" s="10"/>
      <c r="E7" s="9"/>
      <c r="F7" s="71" t="s">
        <v>65</v>
      </c>
      <c r="G7" s="24" t="s">
        <v>61</v>
      </c>
      <c r="H7" s="5"/>
    </row>
    <row r="8" spans="2:8" x14ac:dyDescent="0.25">
      <c r="B8" s="31" t="s">
        <v>21</v>
      </c>
      <c r="C8" s="32"/>
      <c r="D8" s="10"/>
      <c r="E8" s="9"/>
      <c r="F8" s="22"/>
      <c r="G8" s="72"/>
      <c r="H8" s="5"/>
    </row>
    <row r="9" spans="2:8" ht="30" x14ac:dyDescent="0.25">
      <c r="B9" s="30" t="s">
        <v>24</v>
      </c>
      <c r="C9" s="23"/>
      <c r="D9" s="10"/>
      <c r="E9" s="9"/>
      <c r="F9" s="10"/>
      <c r="G9" s="33"/>
      <c r="H9" s="5"/>
    </row>
    <row r="10" spans="2:8" x14ac:dyDescent="0.25">
      <c r="B10" s="4"/>
      <c r="C10" s="9"/>
      <c r="D10" s="10"/>
      <c r="E10" s="9"/>
      <c r="F10" s="9"/>
      <c r="G10" s="77"/>
      <c r="H10" s="5"/>
    </row>
    <row r="11" spans="2:8" x14ac:dyDescent="0.25">
      <c r="B11" s="7" t="s">
        <v>1</v>
      </c>
      <c r="C11" s="14">
        <v>4</v>
      </c>
      <c r="D11" s="10"/>
      <c r="E11" s="9"/>
      <c r="F11" s="8" t="s">
        <v>2</v>
      </c>
      <c r="G11" s="14">
        <v>2</v>
      </c>
      <c r="H11" s="5"/>
    </row>
    <row r="12" spans="2:8" x14ac:dyDescent="0.25">
      <c r="B12" s="4" t="s">
        <v>59</v>
      </c>
      <c r="C12" s="5"/>
      <c r="D12" s="10"/>
      <c r="E12" s="9"/>
      <c r="F12" s="4" t="s">
        <v>22</v>
      </c>
      <c r="G12" s="78"/>
      <c r="H12" s="5"/>
    </row>
    <row r="13" spans="2:8" x14ac:dyDescent="0.25">
      <c r="B13" s="22" t="s">
        <v>21</v>
      </c>
      <c r="C13" s="6"/>
      <c r="D13" s="10"/>
      <c r="E13" s="9"/>
      <c r="F13" s="22" t="s">
        <v>21</v>
      </c>
      <c r="G13" s="79"/>
      <c r="H13" s="5"/>
    </row>
    <row r="14" spans="2:8" x14ac:dyDescent="0.25">
      <c r="B14" s="4"/>
      <c r="C14" s="9"/>
      <c r="D14" s="9"/>
      <c r="E14" s="9"/>
      <c r="F14" s="9"/>
      <c r="G14" s="77"/>
      <c r="H14" s="5"/>
    </row>
    <row r="15" spans="2:8" x14ac:dyDescent="0.25">
      <c r="B15" s="4"/>
      <c r="C15" s="9"/>
      <c r="D15" s="9"/>
      <c r="E15" s="9"/>
      <c r="F15" s="9"/>
      <c r="G15" s="77"/>
      <c r="H15" s="5"/>
    </row>
    <row r="16" spans="2:8" x14ac:dyDescent="0.25">
      <c r="B16" s="3" t="s">
        <v>39</v>
      </c>
      <c r="C16" s="28" t="s">
        <v>4</v>
      </c>
      <c r="D16" s="9"/>
      <c r="E16" s="9" t="s">
        <v>4</v>
      </c>
      <c r="F16" s="8" t="s">
        <v>44</v>
      </c>
      <c r="G16" s="28">
        <v>0</v>
      </c>
      <c r="H16" s="5"/>
    </row>
    <row r="17" spans="1:8" x14ac:dyDescent="0.25">
      <c r="B17" s="83" t="s">
        <v>21</v>
      </c>
      <c r="C17" s="23"/>
      <c r="D17" s="9"/>
      <c r="E17" s="9" t="s">
        <v>5</v>
      </c>
      <c r="F17" s="84" t="s">
        <v>21</v>
      </c>
      <c r="G17" s="23"/>
      <c r="H17" s="5"/>
    </row>
    <row r="18" spans="1:8" x14ac:dyDescent="0.25">
      <c r="B18" s="4"/>
      <c r="C18" s="9"/>
      <c r="D18" s="9"/>
      <c r="E18" s="9" t="s">
        <v>6</v>
      </c>
      <c r="F18" s="9"/>
      <c r="G18" s="77"/>
      <c r="H18" s="5"/>
    </row>
    <row r="19" spans="1:8" x14ac:dyDescent="0.25">
      <c r="B19" s="2" t="s">
        <v>23</v>
      </c>
      <c r="C19" s="19">
        <v>1</v>
      </c>
      <c r="D19" s="9"/>
      <c r="E19" s="9" t="s">
        <v>7</v>
      </c>
      <c r="F19" s="2" t="s">
        <v>52</v>
      </c>
      <c r="G19" s="12">
        <v>0</v>
      </c>
      <c r="H19" s="5"/>
    </row>
    <row r="20" spans="1:8" x14ac:dyDescent="0.25">
      <c r="B20" s="4"/>
      <c r="C20" s="9"/>
      <c r="D20" s="9"/>
      <c r="E20" s="9"/>
      <c r="F20" s="9"/>
      <c r="G20" s="77"/>
      <c r="H20" s="5"/>
    </row>
    <row r="21" spans="1:8" x14ac:dyDescent="0.25">
      <c r="B21" s="4"/>
      <c r="C21" s="9"/>
      <c r="D21" s="9"/>
      <c r="E21" s="9"/>
      <c r="F21" s="9"/>
      <c r="G21" s="77"/>
      <c r="H21" s="5"/>
    </row>
    <row r="22" spans="1:8" ht="21" x14ac:dyDescent="0.35">
      <c r="B22" s="34" t="s">
        <v>67</v>
      </c>
      <c r="C22" s="35">
        <f>IF(G7="2022-23", Sheet2!L20, Sheet3!L20)</f>
        <v>43030</v>
      </c>
      <c r="D22" s="9"/>
      <c r="E22" s="9"/>
      <c r="F22" s="2" t="s">
        <v>70</v>
      </c>
      <c r="G22" s="90">
        <f>(C22/(C7))-1</f>
        <v>1.4260459634649392E-2</v>
      </c>
      <c r="H22" s="5"/>
    </row>
    <row r="23" spans="1:8" x14ac:dyDescent="0.25">
      <c r="B23" s="29"/>
      <c r="C23" s="40"/>
      <c r="D23" s="40"/>
      <c r="E23" s="40"/>
      <c r="F23" s="40"/>
      <c r="G23" s="80"/>
      <c r="H23" s="6"/>
    </row>
    <row r="25" spans="1:8" x14ac:dyDescent="0.25">
      <c r="A25" s="11"/>
      <c r="B25" s="49"/>
      <c r="C25" s="49"/>
      <c r="D25" s="49"/>
      <c r="E25" s="49"/>
      <c r="F25" s="49"/>
      <c r="G25" s="81"/>
      <c r="H25" s="49"/>
    </row>
    <row r="27" spans="1:8" ht="18.75" x14ac:dyDescent="0.3">
      <c r="B27" s="36" t="s">
        <v>66</v>
      </c>
      <c r="C27" s="37"/>
      <c r="D27" s="38"/>
      <c r="E27" s="38"/>
      <c r="F27" s="38"/>
      <c r="G27" s="76"/>
      <c r="H27" s="39"/>
    </row>
    <row r="28" spans="1:8" ht="18.75" x14ac:dyDescent="0.3">
      <c r="B28" s="41"/>
      <c r="C28" s="42"/>
      <c r="D28" s="43"/>
      <c r="E28" s="43"/>
      <c r="F28" s="43"/>
      <c r="G28" s="82"/>
      <c r="H28" s="44"/>
    </row>
    <row r="29" spans="1:8" ht="18.75" x14ac:dyDescent="0.3">
      <c r="B29" s="41" t="s">
        <v>25</v>
      </c>
      <c r="C29" s="42"/>
      <c r="D29" s="43"/>
      <c r="E29" s="43"/>
      <c r="F29" s="43"/>
      <c r="G29" s="82"/>
      <c r="H29" s="44"/>
    </row>
    <row r="30" spans="1:8" x14ac:dyDescent="0.25">
      <c r="B30" s="4"/>
      <c r="C30" s="9"/>
      <c r="D30" s="9"/>
      <c r="E30" s="9"/>
      <c r="F30" s="10"/>
      <c r="G30" s="33"/>
      <c r="H30" s="5"/>
    </row>
    <row r="31" spans="1:8" x14ac:dyDescent="0.25">
      <c r="B31" s="3" t="s">
        <v>68</v>
      </c>
      <c r="C31" s="45">
        <f>C22</f>
        <v>43030</v>
      </c>
      <c r="D31" s="10"/>
      <c r="E31" s="9"/>
      <c r="F31" s="71" t="s">
        <v>65</v>
      </c>
      <c r="G31" s="45" t="str">
        <f>G7</f>
        <v>2021-22 Or Prior</v>
      </c>
      <c r="H31" s="5"/>
    </row>
    <row r="32" spans="1:8" ht="30" x14ac:dyDescent="0.25">
      <c r="B32" s="30" t="s">
        <v>24</v>
      </c>
      <c r="C32" s="23"/>
      <c r="D32" s="10"/>
      <c r="E32" s="9"/>
      <c r="F32" s="22"/>
      <c r="G32" s="23"/>
      <c r="H32" s="5"/>
    </row>
    <row r="33" spans="2:8" x14ac:dyDescent="0.25">
      <c r="B33" s="4"/>
      <c r="C33" s="9"/>
      <c r="D33" s="10"/>
      <c r="E33" s="9"/>
      <c r="F33" s="9"/>
      <c r="G33" s="77"/>
      <c r="H33" s="5"/>
    </row>
    <row r="34" spans="2:8" x14ac:dyDescent="0.25">
      <c r="B34" s="7" t="s">
        <v>1</v>
      </c>
      <c r="C34" s="46">
        <f>C11</f>
        <v>4</v>
      </c>
      <c r="D34" s="10"/>
      <c r="E34" s="9"/>
      <c r="F34" s="8" t="s">
        <v>2</v>
      </c>
      <c r="G34" s="46">
        <f>G11</f>
        <v>2</v>
      </c>
      <c r="H34" s="5"/>
    </row>
    <row r="35" spans="2:8" x14ac:dyDescent="0.25">
      <c r="B35" s="4" t="s">
        <v>59</v>
      </c>
      <c r="C35" s="5"/>
      <c r="D35" s="10"/>
      <c r="E35" s="9"/>
      <c r="F35" s="4" t="s">
        <v>22</v>
      </c>
      <c r="G35" s="78"/>
      <c r="H35" s="5"/>
    </row>
    <row r="36" spans="2:8" x14ac:dyDescent="0.25">
      <c r="B36" s="22" t="s">
        <v>21</v>
      </c>
      <c r="C36" s="6"/>
      <c r="D36" s="10"/>
      <c r="E36" s="9"/>
      <c r="F36" s="22" t="s">
        <v>21</v>
      </c>
      <c r="G36" s="79"/>
      <c r="H36" s="5"/>
    </row>
    <row r="37" spans="2:8" x14ac:dyDescent="0.25">
      <c r="B37" s="4"/>
      <c r="C37" s="9"/>
      <c r="D37" s="9"/>
      <c r="E37" s="9"/>
      <c r="F37" s="9"/>
      <c r="G37" s="77"/>
      <c r="H37" s="5"/>
    </row>
    <row r="38" spans="2:8" ht="49.5" customHeight="1" x14ac:dyDescent="0.25">
      <c r="B38" s="86" t="s">
        <v>69</v>
      </c>
      <c r="C38" s="87"/>
      <c r="D38" s="87"/>
      <c r="E38" s="87"/>
      <c r="F38" s="87"/>
      <c r="G38" s="88"/>
      <c r="H38" s="5"/>
    </row>
    <row r="39" spans="2:8" x14ac:dyDescent="0.25">
      <c r="B39" s="4"/>
      <c r="C39" s="9"/>
      <c r="D39" s="9"/>
      <c r="E39" s="9"/>
      <c r="F39" s="9"/>
      <c r="G39" s="77"/>
      <c r="H39" s="5"/>
    </row>
    <row r="40" spans="2:8" ht="30" x14ac:dyDescent="0.25">
      <c r="B40" s="66" t="s">
        <v>3</v>
      </c>
      <c r="C40" s="28" t="s">
        <v>4</v>
      </c>
      <c r="D40" s="9"/>
      <c r="E40" s="9" t="s">
        <v>4</v>
      </c>
      <c r="F40" s="67" t="s">
        <v>42</v>
      </c>
      <c r="G40" s="28">
        <v>0</v>
      </c>
      <c r="H40" s="5"/>
    </row>
    <row r="41" spans="2:8" x14ac:dyDescent="0.25">
      <c r="B41" s="29" t="s">
        <v>26</v>
      </c>
      <c r="C41" s="23"/>
      <c r="D41" s="9"/>
      <c r="E41" s="9" t="s">
        <v>5</v>
      </c>
      <c r="F41" s="29" t="s">
        <v>45</v>
      </c>
      <c r="G41" s="23"/>
      <c r="H41" s="5"/>
    </row>
    <row r="42" spans="2:8" ht="15" customHeight="1" x14ac:dyDescent="0.25">
      <c r="B42" s="4"/>
      <c r="C42" s="9"/>
      <c r="D42" s="9"/>
      <c r="E42" s="9"/>
      <c r="F42" s="9"/>
      <c r="G42" s="77"/>
      <c r="H42" s="5"/>
    </row>
    <row r="43" spans="2:8" ht="45" x14ac:dyDescent="0.25">
      <c r="B43" s="58"/>
      <c r="C43" s="57"/>
      <c r="D43" s="57"/>
      <c r="E43" s="57"/>
      <c r="F43" s="70" t="s">
        <v>43</v>
      </c>
      <c r="G43" s="48">
        <f>Sheet2!R30</f>
        <v>0</v>
      </c>
      <c r="H43" s="5"/>
    </row>
    <row r="44" spans="2:8" x14ac:dyDescent="0.25">
      <c r="B44" s="4"/>
      <c r="C44" s="9"/>
      <c r="D44" s="9"/>
      <c r="E44" s="9" t="s">
        <v>6</v>
      </c>
      <c r="F44" s="9"/>
      <c r="G44" s="77"/>
      <c r="H44" s="5"/>
    </row>
    <row r="45" spans="2:8" x14ac:dyDescent="0.25">
      <c r="B45" s="2" t="s">
        <v>23</v>
      </c>
      <c r="C45" s="47">
        <f>C19</f>
        <v>1</v>
      </c>
      <c r="D45" s="9"/>
      <c r="E45" s="9" t="s">
        <v>7</v>
      </c>
      <c r="F45" s="2" t="s">
        <v>52</v>
      </c>
      <c r="G45" s="48">
        <f>G19</f>
        <v>0</v>
      </c>
      <c r="H45" s="5"/>
    </row>
    <row r="46" spans="2:8" x14ac:dyDescent="0.25">
      <c r="B46" s="4"/>
      <c r="C46" s="9"/>
      <c r="D46" s="9"/>
      <c r="E46" s="9"/>
      <c r="F46" s="9"/>
      <c r="G46" s="77"/>
      <c r="H46" s="5"/>
    </row>
    <row r="47" spans="2:8" x14ac:dyDescent="0.25">
      <c r="B47" s="4"/>
      <c r="C47" s="9"/>
      <c r="D47" s="9"/>
      <c r="E47" s="9"/>
      <c r="F47" s="9"/>
      <c r="G47" s="77"/>
      <c r="H47" s="5"/>
    </row>
    <row r="48" spans="2:8" ht="21" x14ac:dyDescent="0.35">
      <c r="B48" s="34" t="s">
        <v>67</v>
      </c>
      <c r="C48" s="35">
        <f>IF(G7="2022-23", Sheet2!L41, Sheet3!L41)</f>
        <v>43030</v>
      </c>
      <c r="D48" s="9"/>
      <c r="E48" s="9"/>
      <c r="F48" s="2" t="s">
        <v>27</v>
      </c>
      <c r="G48" s="90">
        <f>(C48/(C31))-1</f>
        <v>0</v>
      </c>
      <c r="H48" s="5"/>
    </row>
    <row r="49" spans="2:8" x14ac:dyDescent="0.25">
      <c r="B49" s="29"/>
      <c r="C49" s="40"/>
      <c r="D49" s="40"/>
      <c r="E49" s="40"/>
      <c r="F49" s="40"/>
      <c r="G49" s="80"/>
      <c r="H49" s="6"/>
    </row>
  </sheetData>
  <mergeCells count="2">
    <mergeCell ref="B1:H1"/>
    <mergeCell ref="B38:G38"/>
  </mergeCells>
  <dataValidations count="2">
    <dataValidation type="list" allowBlank="1" showInputMessage="1" showErrorMessage="1" errorTitle="List Error" error="Please select only from the List" promptTitle="Degree" sqref="C16:C17 C40:C41" xr:uid="{00000000-0002-0000-0000-000000000000}">
      <formula1>Degree</formula1>
    </dataValidation>
    <dataValidation allowBlank="1" showInputMessage="1" showErrorMessage="1" errorTitle="List Error" error="Please select only from the List" promptTitle="Degree" sqref="D16:D17 D40:D41" xr:uid="{00000000-0002-0000-0000-000001000000}"/>
  </dataValidations>
  <hyperlinks>
    <hyperlink ref="F3" r:id="rId1" display="Click here to visit the Employee Access Center" xr:uid="{00000000-0004-0000-0000-000000000000}"/>
  </hyperlinks>
  <pageMargins left="0.7" right="0.7" top="0.75" bottom="0.75" header="0.3" footer="0.3"/>
  <pageSetup scale="9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Year Hired" prompt="Year Originally Hired as Teacher at MPS" xr:uid="{146DD30E-B848-4254-914F-47C883ED32F7}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50"/>
  <sheetViews>
    <sheetView workbookViewId="0"/>
  </sheetViews>
  <sheetFormatPr defaultRowHeight="15" x14ac:dyDescent="0.25"/>
  <cols>
    <col min="2" max="2" width="20.7109375" hidden="1" customWidth="1"/>
    <col min="3" max="6" width="12.85546875" style="13" hidden="1" customWidth="1"/>
    <col min="7" max="10" width="2" hidden="1" customWidth="1"/>
    <col min="11" max="11" width="30.42578125" hidden="1" customWidth="1"/>
    <col min="12" max="12" width="15.140625" hidden="1" customWidth="1"/>
    <col min="13" max="13" width="12" hidden="1" customWidth="1"/>
    <col min="14" max="16" width="13" hidden="1" customWidth="1"/>
    <col min="17" max="17" width="13" style="13" hidden="1" customWidth="1"/>
    <col min="18" max="18" width="12" style="60" hidden="1" customWidth="1"/>
    <col min="19" max="19" width="21.85546875" hidden="1" customWidth="1"/>
    <col min="20" max="20" width="17.7109375" hidden="1" customWidth="1"/>
    <col min="21" max="21" width="15.140625" hidden="1" customWidth="1"/>
    <col min="22" max="22" width="12.5703125" hidden="1" customWidth="1"/>
    <col min="23" max="23" width="9.140625" customWidth="1"/>
  </cols>
  <sheetData>
    <row r="1" spans="2:21" x14ac:dyDescent="0.25">
      <c r="B1" s="89" t="s">
        <v>63</v>
      </c>
      <c r="C1" s="89"/>
      <c r="D1" s="89"/>
      <c r="E1" s="89"/>
      <c r="F1" s="89"/>
      <c r="K1" s="71" t="s">
        <v>60</v>
      </c>
      <c r="L1" s="73" t="s">
        <v>53</v>
      </c>
    </row>
    <row r="2" spans="2:21" x14ac:dyDescent="0.25">
      <c r="C2" s="52">
        <f>C5</f>
        <v>41155</v>
      </c>
      <c r="D2" s="52">
        <v>47280</v>
      </c>
      <c r="E2" s="52">
        <v>57200</v>
      </c>
      <c r="F2" s="52">
        <v>57220</v>
      </c>
      <c r="K2" s="22"/>
      <c r="L2" s="74" t="s">
        <v>61</v>
      </c>
    </row>
    <row r="3" spans="2:21" ht="45" x14ac:dyDescent="0.25">
      <c r="C3" s="13" t="s">
        <v>4</v>
      </c>
      <c r="D3" s="13" t="s">
        <v>5</v>
      </c>
      <c r="E3" s="13" t="s">
        <v>6</v>
      </c>
      <c r="F3" s="13" t="s">
        <v>7</v>
      </c>
      <c r="L3" s="18" t="s">
        <v>64</v>
      </c>
      <c r="M3" s="18" t="s">
        <v>4</v>
      </c>
      <c r="N3" s="18" t="s">
        <v>5</v>
      </c>
      <c r="O3" s="18" t="s">
        <v>6</v>
      </c>
      <c r="P3" s="18" t="s">
        <v>7</v>
      </c>
      <c r="Q3" s="13" t="s">
        <v>9</v>
      </c>
      <c r="R3" s="62" t="s">
        <v>41</v>
      </c>
      <c r="S3" s="63" t="s">
        <v>50</v>
      </c>
      <c r="T3" s="65">
        <v>18</v>
      </c>
    </row>
    <row r="4" spans="2:21" x14ac:dyDescent="0.25">
      <c r="B4" t="s">
        <v>31</v>
      </c>
      <c r="C4" s="52">
        <v>40780</v>
      </c>
      <c r="D4" s="52">
        <v>48400</v>
      </c>
      <c r="E4" s="52">
        <v>59125</v>
      </c>
      <c r="F4" s="52">
        <v>59125</v>
      </c>
      <c r="K4" t="s">
        <v>13</v>
      </c>
      <c r="L4" s="17">
        <f>MAX(M4:P5)</f>
        <v>40780</v>
      </c>
      <c r="M4" s="15">
        <f>IF(SalaryCheckHome!$C$16="BA",C4,0)</f>
        <v>40780</v>
      </c>
      <c r="N4" s="15">
        <f>IF(SalaryCheckHome!$C$16="MA",D4,0)</f>
        <v>0</v>
      </c>
      <c r="O4" s="15">
        <f>IF(SalaryCheckHome!$C$16="EDSpec",E4,0)</f>
        <v>0</v>
      </c>
      <c r="P4" s="15">
        <f>IF(SalaryCheckHome!$C$16="Doc",F4,0)</f>
        <v>0</v>
      </c>
    </row>
    <row r="5" spans="2:21" x14ac:dyDescent="0.25">
      <c r="B5" t="s">
        <v>38</v>
      </c>
      <c r="C5" s="56">
        <f>C4+C6</f>
        <v>41155</v>
      </c>
      <c r="D5" s="56">
        <f t="shared" ref="D5:F5" si="0">D4+D6</f>
        <v>49233</v>
      </c>
      <c r="E5" s="56">
        <f t="shared" si="0"/>
        <v>59978</v>
      </c>
      <c r="F5" s="56">
        <f t="shared" si="0"/>
        <v>59998</v>
      </c>
      <c r="K5" t="s">
        <v>8</v>
      </c>
      <c r="L5" s="16">
        <f>MAX(M5:P6)</f>
        <v>375</v>
      </c>
      <c r="M5" s="15">
        <f>IF(SalaryCheckHome!$C$16="BA",C6,0)</f>
        <v>375</v>
      </c>
      <c r="N5" s="15">
        <f>IF(SalaryCheckHome!$C$16="MA",D6,0)</f>
        <v>0</v>
      </c>
      <c r="O5" s="15">
        <f>IF(SalaryCheckHome!$C$16="EDSpec",E6,0)</f>
        <v>0</v>
      </c>
      <c r="P5" s="15">
        <f>IF(SalaryCheckHome!$C$16="Doc",F6,0)</f>
        <v>0</v>
      </c>
    </row>
    <row r="6" spans="2:21" x14ac:dyDescent="0.25">
      <c r="B6" t="s">
        <v>32</v>
      </c>
      <c r="C6" s="52">
        <v>375</v>
      </c>
      <c r="D6" s="52">
        <v>833</v>
      </c>
      <c r="E6" s="52">
        <v>853</v>
      </c>
      <c r="F6" s="52">
        <v>873</v>
      </c>
      <c r="K6" t="s">
        <v>10</v>
      </c>
      <c r="L6" s="1">
        <f>MIN(Q6:R6)</f>
        <v>2</v>
      </c>
      <c r="M6">
        <f>IF(SalaryCheckHome!$C$16="BA",C7,0)</f>
        <v>8</v>
      </c>
      <c r="N6">
        <f>IF(SalaryCheckHome!$C$16="MA",D7,0)</f>
        <v>0</v>
      </c>
      <c r="O6">
        <f>IF(SalaryCheckHome!$C$16="EDSpec",E7,0)</f>
        <v>0</v>
      </c>
      <c r="P6">
        <f>IF(SalaryCheckHome!$C$16="Doc",F7,0)</f>
        <v>0</v>
      </c>
      <c r="Q6" s="13">
        <f>MAX(M6:P6)</f>
        <v>8</v>
      </c>
      <c r="R6" s="60">
        <f>SalaryCheckHome!G11</f>
        <v>2</v>
      </c>
    </row>
    <row r="7" spans="2:21" x14ac:dyDescent="0.25">
      <c r="B7" t="s">
        <v>33</v>
      </c>
      <c r="C7" s="13">
        <v>8</v>
      </c>
      <c r="D7" s="13">
        <v>14</v>
      </c>
      <c r="E7" s="13">
        <v>14</v>
      </c>
      <c r="F7" s="13">
        <v>14</v>
      </c>
      <c r="K7" t="s">
        <v>11</v>
      </c>
      <c r="L7" s="1">
        <f>MIN(Q7:R7)</f>
        <v>6</v>
      </c>
      <c r="M7">
        <f>IF(SalaryCheckHome!$C$16="BA",C8,0)</f>
        <v>8</v>
      </c>
      <c r="N7">
        <f>IF(SalaryCheckHome!$C$16="MA",D8,0)</f>
        <v>0</v>
      </c>
      <c r="O7">
        <f>IF(SalaryCheckHome!$C$16="EDSpec",E8,0)</f>
        <v>0</v>
      </c>
      <c r="P7">
        <f>IF(SalaryCheckHome!$C$16="Doc",F8,0)</f>
        <v>0</v>
      </c>
      <c r="Q7" s="13">
        <f>MAX(M7:P7)</f>
        <v>8</v>
      </c>
      <c r="R7" s="60">
        <f>L6+SalaryCheckHome!C11</f>
        <v>6</v>
      </c>
    </row>
    <row r="8" spans="2:21" x14ac:dyDescent="0.25">
      <c r="B8" t="s">
        <v>34</v>
      </c>
      <c r="C8" s="13">
        <v>8</v>
      </c>
      <c r="D8" s="13">
        <v>25</v>
      </c>
      <c r="E8" s="13">
        <v>25</v>
      </c>
      <c r="F8" s="13">
        <v>25</v>
      </c>
      <c r="K8" t="s">
        <v>12</v>
      </c>
      <c r="L8" s="17">
        <f>L5*L7</f>
        <v>2250</v>
      </c>
    </row>
    <row r="9" spans="2:21" x14ac:dyDescent="0.25">
      <c r="K9" t="s">
        <v>14</v>
      </c>
      <c r="L9" s="1">
        <f>MIN(Q9:U9)</f>
        <v>0</v>
      </c>
      <c r="M9">
        <f>IF(SalaryCheckHome!$C$16="BA",C11,0)</f>
        <v>39</v>
      </c>
      <c r="N9">
        <f>IF(SalaryCheckHome!$C$16="MA",D11,0)</f>
        <v>0</v>
      </c>
      <c r="O9">
        <f>IF(SalaryCheckHome!$C$16="EDSpec",E11,0)</f>
        <v>0</v>
      </c>
      <c r="P9">
        <f>IF(SalaryCheckHome!$C$16="Doc",F11,0)</f>
        <v>0</v>
      </c>
      <c r="Q9" s="13">
        <f>MAX(M9:P9)</f>
        <v>39</v>
      </c>
      <c r="R9" s="62">
        <f>SalaryCheckHome!G16</f>
        <v>0</v>
      </c>
      <c r="S9" s="13"/>
      <c r="T9" s="13"/>
      <c r="U9" s="13"/>
    </row>
    <row r="10" spans="2:21" x14ac:dyDescent="0.25">
      <c r="B10" t="s">
        <v>35</v>
      </c>
      <c r="C10" s="52">
        <v>190</v>
      </c>
      <c r="D10" s="52">
        <v>275</v>
      </c>
      <c r="E10" s="52">
        <v>275</v>
      </c>
      <c r="F10" s="52">
        <v>275</v>
      </c>
      <c r="K10" t="s">
        <v>15</v>
      </c>
      <c r="L10" s="16">
        <f>MAX(M10:P11)</f>
        <v>190</v>
      </c>
      <c r="M10" s="15">
        <f>IF(SalaryCheckHome!$C$16="BA",C10,0)</f>
        <v>190</v>
      </c>
      <c r="N10" s="15">
        <f>IF(SalaryCheckHome!$C$16="MA",D10,0)</f>
        <v>0</v>
      </c>
      <c r="O10" s="15">
        <f>IF(SalaryCheckHome!$C$16="EDSpec",E10,0)</f>
        <v>0</v>
      </c>
      <c r="P10" s="15">
        <f>IF(SalaryCheckHome!$C$16="Doc",F10,0)</f>
        <v>0</v>
      </c>
    </row>
    <row r="11" spans="2:21" x14ac:dyDescent="0.25">
      <c r="B11" t="s">
        <v>36</v>
      </c>
      <c r="C11" s="13">
        <v>39</v>
      </c>
      <c r="D11" s="13">
        <v>39</v>
      </c>
      <c r="E11" s="13">
        <v>3</v>
      </c>
      <c r="F11" s="13">
        <v>3</v>
      </c>
      <c r="K11" t="s">
        <v>16</v>
      </c>
      <c r="L11" s="20">
        <f>L10*L9</f>
        <v>0</v>
      </c>
    </row>
    <row r="12" spans="2:21" x14ac:dyDescent="0.25">
      <c r="K12" t="s">
        <v>17</v>
      </c>
      <c r="L12" s="20">
        <f>L11+L8+L4</f>
        <v>43030</v>
      </c>
    </row>
    <row r="13" spans="2:21" x14ac:dyDescent="0.25">
      <c r="B13" t="s">
        <v>37</v>
      </c>
      <c r="C13" s="54">
        <v>0</v>
      </c>
      <c r="K13" t="s">
        <v>18</v>
      </c>
      <c r="L13" s="21">
        <f>SalaryCheckHome!C19</f>
        <v>1</v>
      </c>
    </row>
    <row r="14" spans="2:21" x14ac:dyDescent="0.25">
      <c r="K14" t="s">
        <v>19</v>
      </c>
      <c r="L14" s="1">
        <f>SalaryCheckHome!G19</f>
        <v>0</v>
      </c>
    </row>
    <row r="15" spans="2:21" x14ac:dyDescent="0.25">
      <c r="K15" t="s">
        <v>20</v>
      </c>
      <c r="L15" s="17">
        <f>(L12*L13)+((L12/192)*L14)</f>
        <v>43030</v>
      </c>
    </row>
    <row r="16" spans="2:21" x14ac:dyDescent="0.25">
      <c r="L16" s="15"/>
    </row>
    <row r="17" spans="2:22" x14ac:dyDescent="0.25">
      <c r="K17" t="s">
        <v>51</v>
      </c>
      <c r="L17" s="16">
        <f>SalaryCheckHome!C7</f>
        <v>42425</v>
      </c>
    </row>
    <row r="18" spans="2:22" x14ac:dyDescent="0.25">
      <c r="K18" t="s">
        <v>54</v>
      </c>
      <c r="L18" s="16">
        <f>L15</f>
        <v>43030</v>
      </c>
    </row>
    <row r="19" spans="2:22" x14ac:dyDescent="0.25">
      <c r="K19" t="s">
        <v>55</v>
      </c>
      <c r="L19" s="16">
        <f>L17+C13</f>
        <v>42425</v>
      </c>
    </row>
    <row r="20" spans="2:22" x14ac:dyDescent="0.25">
      <c r="K20" t="s">
        <v>56</v>
      </c>
      <c r="L20" s="17">
        <f>MAX(L18:L19)</f>
        <v>43030</v>
      </c>
      <c r="M20" s="25">
        <f>(L20/L17)-1</f>
        <v>1.4260459634649392E-2</v>
      </c>
    </row>
    <row r="21" spans="2:22" x14ac:dyDescent="0.25">
      <c r="M21" s="25"/>
    </row>
    <row r="23" spans="2:22" x14ac:dyDescent="0.25">
      <c r="K23" s="11"/>
      <c r="L23" s="11"/>
      <c r="M23" s="11"/>
      <c r="N23" s="11"/>
      <c r="O23" s="11"/>
      <c r="P23" s="11"/>
      <c r="Q23" s="53"/>
      <c r="R23" s="53"/>
      <c r="S23" s="61"/>
    </row>
    <row r="24" spans="2:22" ht="60" x14ac:dyDescent="0.25">
      <c r="C24" s="13" t="s">
        <v>4</v>
      </c>
      <c r="D24" s="13" t="s">
        <v>5</v>
      </c>
      <c r="E24" s="13" t="s">
        <v>6</v>
      </c>
      <c r="F24" s="13" t="s">
        <v>7</v>
      </c>
      <c r="L24" s="18" t="str">
        <f>L3</f>
        <v>2023-24</v>
      </c>
      <c r="M24" s="18" t="s">
        <v>4</v>
      </c>
      <c r="N24" s="18" t="s">
        <v>5</v>
      </c>
      <c r="O24" s="18" t="s">
        <v>6</v>
      </c>
      <c r="P24" s="18" t="s">
        <v>7</v>
      </c>
      <c r="Q24" s="13" t="s">
        <v>9</v>
      </c>
      <c r="R24" s="62" t="s">
        <v>47</v>
      </c>
      <c r="S24" s="63" t="s">
        <v>48</v>
      </c>
      <c r="T24" s="64" t="s">
        <v>49</v>
      </c>
      <c r="U24" s="64" t="s">
        <v>46</v>
      </c>
      <c r="V24" s="64" t="s">
        <v>40</v>
      </c>
    </row>
    <row r="25" spans="2:22" x14ac:dyDescent="0.25">
      <c r="B25" t="s">
        <v>31</v>
      </c>
      <c r="C25" s="52">
        <f>C4</f>
        <v>40780</v>
      </c>
      <c r="D25" s="52">
        <f>D4</f>
        <v>48400</v>
      </c>
      <c r="E25" s="52">
        <f>E4</f>
        <v>59125</v>
      </c>
      <c r="F25" s="52">
        <f>F4</f>
        <v>59125</v>
      </c>
      <c r="K25" t="s">
        <v>13</v>
      </c>
      <c r="L25" s="17">
        <f>MAX(M25:P26)</f>
        <v>40780</v>
      </c>
      <c r="M25" s="15">
        <f>IF(SalaryCheckHome!$C$40="BA",C25,0)</f>
        <v>40780</v>
      </c>
      <c r="N25" s="15">
        <f>IF(SalaryCheckHome!$C$40="MA",D25,0)</f>
        <v>0</v>
      </c>
      <c r="O25" s="15">
        <f>IF(SalaryCheckHome!$C$40="EDSpec",E25,0)</f>
        <v>0</v>
      </c>
      <c r="P25" s="15">
        <f>IF(SalaryCheckHome!$C$40="Doc",F25,0)</f>
        <v>0</v>
      </c>
      <c r="R25"/>
      <c r="S25" s="60"/>
    </row>
    <row r="26" spans="2:22" x14ac:dyDescent="0.25">
      <c r="C26" s="52"/>
      <c r="D26" s="52"/>
      <c r="E26" s="52"/>
      <c r="F26" s="52"/>
      <c r="K26" t="s">
        <v>8</v>
      </c>
      <c r="L26" s="16">
        <f>MAX(M26:P27)</f>
        <v>375</v>
      </c>
      <c r="M26" s="15">
        <f>IF(SalaryCheckHome!$C$40="BA",C27,0)</f>
        <v>375</v>
      </c>
      <c r="N26" s="15">
        <f>IF(SalaryCheckHome!$C$40="MA",D27,0)</f>
        <v>0</v>
      </c>
      <c r="O26" s="15">
        <f>IF(SalaryCheckHome!$C$40="EDSpec",E27,0)</f>
        <v>0</v>
      </c>
      <c r="P26" s="15">
        <f>IF(SalaryCheckHome!$C$40="Doc",F27,0)</f>
        <v>0</v>
      </c>
      <c r="R26"/>
      <c r="S26" s="60"/>
    </row>
    <row r="27" spans="2:22" x14ac:dyDescent="0.25">
      <c r="B27" t="s">
        <v>32</v>
      </c>
      <c r="C27" s="52">
        <f t="shared" ref="C27:F29" si="1">C6</f>
        <v>375</v>
      </c>
      <c r="D27" s="52">
        <f t="shared" si="1"/>
        <v>833</v>
      </c>
      <c r="E27" s="52">
        <f t="shared" si="1"/>
        <v>853</v>
      </c>
      <c r="F27" s="52">
        <f t="shared" si="1"/>
        <v>873</v>
      </c>
      <c r="K27" t="s">
        <v>10</v>
      </c>
      <c r="L27" s="1">
        <f>L6</f>
        <v>2</v>
      </c>
      <c r="R27"/>
      <c r="S27" s="60"/>
    </row>
    <row r="28" spans="2:22" x14ac:dyDescent="0.25">
      <c r="B28" t="s">
        <v>33</v>
      </c>
      <c r="C28" s="55">
        <f t="shared" si="1"/>
        <v>8</v>
      </c>
      <c r="D28" s="55">
        <f t="shared" si="1"/>
        <v>14</v>
      </c>
      <c r="E28" s="55">
        <f t="shared" si="1"/>
        <v>14</v>
      </c>
      <c r="F28" s="55">
        <f t="shared" si="1"/>
        <v>14</v>
      </c>
      <c r="K28" t="s">
        <v>11</v>
      </c>
      <c r="L28" s="1">
        <f>L7</f>
        <v>6</v>
      </c>
      <c r="R28"/>
      <c r="S28" s="60"/>
    </row>
    <row r="29" spans="2:22" x14ac:dyDescent="0.25">
      <c r="B29" t="s">
        <v>34</v>
      </c>
      <c r="C29" s="55">
        <f t="shared" si="1"/>
        <v>8</v>
      </c>
      <c r="D29" s="55">
        <f t="shared" si="1"/>
        <v>25</v>
      </c>
      <c r="E29" s="55">
        <f t="shared" si="1"/>
        <v>25</v>
      </c>
      <c r="F29" s="55">
        <f t="shared" si="1"/>
        <v>25</v>
      </c>
      <c r="K29" t="s">
        <v>12</v>
      </c>
      <c r="L29" s="17">
        <f>L26*L28</f>
        <v>2250</v>
      </c>
      <c r="R29"/>
      <c r="S29" s="60"/>
    </row>
    <row r="30" spans="2:22" x14ac:dyDescent="0.25">
      <c r="C30" s="52"/>
      <c r="D30" s="52"/>
      <c r="E30" s="52"/>
      <c r="F30" s="52"/>
      <c r="K30" t="s">
        <v>14</v>
      </c>
      <c r="L30" s="1">
        <f>MIN(Q30:R30)</f>
        <v>0</v>
      </c>
      <c r="M30">
        <f>IF(SalaryCheckHome!$C$40="BA",C32,0)</f>
        <v>39</v>
      </c>
      <c r="N30">
        <f>IF(SalaryCheckHome!$C$40="MA",D32,0)</f>
        <v>0</v>
      </c>
      <c r="O30">
        <f>IF(SalaryCheckHome!$C$40="EDSpec",E32,0)</f>
        <v>0</v>
      </c>
      <c r="P30">
        <f>IF(SalaryCheckHome!$C$40="Doc",F32,0)</f>
        <v>0</v>
      </c>
      <c r="Q30" s="13">
        <f>MAX(M30:P30)</f>
        <v>39</v>
      </c>
      <c r="R30" s="13">
        <f>MAX(Q309,V30)</f>
        <v>0</v>
      </c>
      <c r="S30" s="63">
        <f>SalaryCheckHome!G40</f>
        <v>0</v>
      </c>
      <c r="T30" s="59">
        <f>(S30-R9)</f>
        <v>0</v>
      </c>
      <c r="U30" s="59">
        <f>MIN((T30+R9),(R9+18))</f>
        <v>0</v>
      </c>
      <c r="V30" s="59">
        <f xml:space="preserve"> IF(U30=0,0,IF(U30&gt;39,39,IF(U30&gt;=36,36,IF(U30=36,36,(IF(U30&gt;=27,27,(IF(U30&gt;=18,18,(IF(U30&gt;=9,9,0))))))))))</f>
        <v>0</v>
      </c>
    </row>
    <row r="31" spans="2:22" x14ac:dyDescent="0.25">
      <c r="B31" t="s">
        <v>35</v>
      </c>
      <c r="C31" s="52">
        <f t="shared" ref="C31:F32" si="2">C10</f>
        <v>190</v>
      </c>
      <c r="D31" s="52">
        <f t="shared" si="2"/>
        <v>275</v>
      </c>
      <c r="E31" s="52">
        <f t="shared" si="2"/>
        <v>275</v>
      </c>
      <c r="F31" s="52">
        <f t="shared" si="2"/>
        <v>275</v>
      </c>
      <c r="K31" t="s">
        <v>15</v>
      </c>
      <c r="L31" s="16">
        <f>MAX(M31:P32)</f>
        <v>190</v>
      </c>
      <c r="M31" s="15">
        <f>IF(SalaryCheckHome!$C$40="BA",C31,0)</f>
        <v>190</v>
      </c>
      <c r="N31" s="15">
        <f>IF(SalaryCheckHome!$C$40="MA",D31,0)</f>
        <v>0</v>
      </c>
      <c r="O31" s="15">
        <f>IF(SalaryCheckHome!$C$40="EDSpec",E31,0)</f>
        <v>0</v>
      </c>
      <c r="P31" s="15">
        <f>IF(SalaryCheckHome!$C$40="Doc",F31,0)</f>
        <v>0</v>
      </c>
      <c r="R31" s="13"/>
      <c r="S31" s="60"/>
    </row>
    <row r="32" spans="2:22" x14ac:dyDescent="0.25">
      <c r="B32" t="s">
        <v>36</v>
      </c>
      <c r="C32" s="55">
        <f t="shared" si="2"/>
        <v>39</v>
      </c>
      <c r="D32" s="55">
        <f t="shared" si="2"/>
        <v>39</v>
      </c>
      <c r="E32" s="55">
        <f t="shared" si="2"/>
        <v>3</v>
      </c>
      <c r="F32" s="55">
        <f t="shared" si="2"/>
        <v>3</v>
      </c>
      <c r="K32" t="s">
        <v>16</v>
      </c>
      <c r="L32" s="20">
        <f>L31*L30</f>
        <v>0</v>
      </c>
      <c r="R32" s="13"/>
      <c r="S32" s="60"/>
    </row>
    <row r="33" spans="2:19" x14ac:dyDescent="0.25">
      <c r="C33" s="52"/>
      <c r="D33" s="52"/>
      <c r="E33" s="52"/>
      <c r="F33" s="52"/>
      <c r="K33" t="s">
        <v>17</v>
      </c>
      <c r="L33" s="20">
        <f>L32+L29+L25</f>
        <v>43030</v>
      </c>
      <c r="R33" s="13"/>
      <c r="S33" s="60"/>
    </row>
    <row r="34" spans="2:19" x14ac:dyDescent="0.25">
      <c r="B34" t="s">
        <v>37</v>
      </c>
      <c r="C34" s="52">
        <f>C13</f>
        <v>0</v>
      </c>
      <c r="D34" s="52">
        <f>D13</f>
        <v>0</v>
      </c>
      <c r="E34" s="52">
        <f>E13</f>
        <v>0</v>
      </c>
      <c r="F34" s="52">
        <f>F13</f>
        <v>0</v>
      </c>
      <c r="K34" t="s">
        <v>18</v>
      </c>
      <c r="L34" s="21">
        <f>L13</f>
        <v>1</v>
      </c>
      <c r="R34" s="13"/>
      <c r="S34" s="60"/>
    </row>
    <row r="35" spans="2:19" x14ac:dyDescent="0.25">
      <c r="K35" t="s">
        <v>19</v>
      </c>
      <c r="L35" s="1">
        <f>L14</f>
        <v>0</v>
      </c>
      <c r="R35" s="13"/>
      <c r="S35" s="60"/>
    </row>
    <row r="36" spans="2:19" x14ac:dyDescent="0.25">
      <c r="K36" t="s">
        <v>20</v>
      </c>
      <c r="L36" s="17">
        <f>(L33*L34)+((L33/192)*L35)</f>
        <v>43030</v>
      </c>
      <c r="R36" s="13"/>
      <c r="S36" s="60"/>
    </row>
    <row r="37" spans="2:19" x14ac:dyDescent="0.25">
      <c r="L37" s="15"/>
      <c r="R37" s="13"/>
      <c r="S37" s="60"/>
    </row>
    <row r="38" spans="2:19" x14ac:dyDescent="0.25">
      <c r="L38" s="16"/>
      <c r="R38" s="13"/>
      <c r="S38" s="60"/>
    </row>
    <row r="39" spans="2:19" x14ac:dyDescent="0.25">
      <c r="L39" s="16"/>
      <c r="R39" s="13"/>
      <c r="S39" s="60"/>
    </row>
    <row r="40" spans="2:19" x14ac:dyDescent="0.25">
      <c r="L40" s="16"/>
      <c r="R40" s="13"/>
      <c r="S40" s="60"/>
    </row>
    <row r="41" spans="2:19" x14ac:dyDescent="0.25">
      <c r="K41" t="s">
        <v>51</v>
      </c>
      <c r="L41" s="17">
        <f>MAX(L36,L20)</f>
        <v>43030</v>
      </c>
      <c r="M41" s="25">
        <f>(L41/L20)-1</f>
        <v>0</v>
      </c>
      <c r="R41" s="13"/>
      <c r="S41" s="60"/>
    </row>
    <row r="42" spans="2:19" x14ac:dyDescent="0.25">
      <c r="R42" s="13"/>
      <c r="S42" s="60"/>
    </row>
    <row r="43" spans="2:19" x14ac:dyDescent="0.25">
      <c r="R43" s="13"/>
      <c r="S43" s="60"/>
    </row>
    <row r="44" spans="2:19" x14ac:dyDescent="0.25">
      <c r="R44" s="13"/>
      <c r="S44" s="60"/>
    </row>
    <row r="45" spans="2:19" x14ac:dyDescent="0.25">
      <c r="R45" s="13"/>
      <c r="S45" s="60"/>
    </row>
    <row r="46" spans="2:19" x14ac:dyDescent="0.25">
      <c r="R46" s="13"/>
      <c r="S46" s="60"/>
    </row>
    <row r="47" spans="2:19" x14ac:dyDescent="0.25">
      <c r="R47" s="13"/>
      <c r="S47" s="60"/>
    </row>
    <row r="48" spans="2:19" x14ac:dyDescent="0.25">
      <c r="R48" s="13"/>
      <c r="S48" s="60"/>
    </row>
    <row r="49" spans="18:19" x14ac:dyDescent="0.25">
      <c r="R49" s="13"/>
      <c r="S49" s="60"/>
    </row>
    <row r="50" spans="18:19" x14ac:dyDescent="0.25">
      <c r="R50" s="13"/>
      <c r="S50" s="60"/>
    </row>
  </sheetData>
  <sheetProtection algorithmName="SHA-512" hashValue="xhCHeUoS5tyWtV6NYkB7j5cD+61UZDZnfOaVwI3WzGczIOPsLCE/eeWAVx4FKuTPnuDlEkYW9HVLGZFzz8T1Gg==" saltValue="c0RTnyKVLe6s07NgB568cQ==" spinCount="100000" sheet="1" selectLockedCells="1" selectUnlockedCells="1"/>
  <mergeCells count="1">
    <mergeCell ref="B1:F1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4480-6367-4238-B00A-1CA2949C4CD7}">
  <dimension ref="B1:V50"/>
  <sheetViews>
    <sheetView workbookViewId="0"/>
  </sheetViews>
  <sheetFormatPr defaultRowHeight="15" x14ac:dyDescent="0.25"/>
  <cols>
    <col min="2" max="2" width="20.7109375" hidden="1" customWidth="1"/>
    <col min="3" max="6" width="12.85546875" style="13" hidden="1" customWidth="1"/>
    <col min="7" max="10" width="2" hidden="1" customWidth="1"/>
    <col min="11" max="11" width="30.42578125" hidden="1" customWidth="1"/>
    <col min="12" max="12" width="15.140625" hidden="1" customWidth="1"/>
    <col min="13" max="13" width="12" hidden="1" customWidth="1"/>
    <col min="14" max="16" width="13" hidden="1" customWidth="1"/>
    <col min="17" max="17" width="13" style="13" hidden="1" customWidth="1"/>
    <col min="18" max="18" width="12" style="60" hidden="1" customWidth="1"/>
    <col min="19" max="19" width="21.85546875" hidden="1" customWidth="1"/>
    <col min="20" max="20" width="17.7109375" hidden="1" customWidth="1"/>
    <col min="21" max="21" width="15.140625" hidden="1" customWidth="1"/>
    <col min="22" max="22" width="12.5703125" hidden="1" customWidth="1"/>
    <col min="23" max="23" width="9.140625" customWidth="1"/>
  </cols>
  <sheetData>
    <row r="1" spans="2:21" x14ac:dyDescent="0.25">
      <c r="B1" s="89" t="s">
        <v>62</v>
      </c>
      <c r="C1" s="89"/>
      <c r="D1" s="89"/>
      <c r="E1" s="89"/>
      <c r="F1" s="89"/>
      <c r="K1" s="71" t="s">
        <v>60</v>
      </c>
      <c r="L1" s="73" t="s">
        <v>53</v>
      </c>
    </row>
    <row r="2" spans="2:21" x14ac:dyDescent="0.25">
      <c r="C2" s="52">
        <f>C5</f>
        <v>41155</v>
      </c>
      <c r="D2" s="52">
        <v>47280</v>
      </c>
      <c r="E2" s="52">
        <v>57200</v>
      </c>
      <c r="F2" s="52">
        <v>57220</v>
      </c>
      <c r="K2" s="22"/>
      <c r="L2" s="74" t="s">
        <v>61</v>
      </c>
    </row>
    <row r="3" spans="2:21" ht="45" x14ac:dyDescent="0.25">
      <c r="C3" s="13" t="s">
        <v>4</v>
      </c>
      <c r="D3" s="13" t="s">
        <v>5</v>
      </c>
      <c r="E3" s="13" t="s">
        <v>6</v>
      </c>
      <c r="F3" s="13" t="s">
        <v>7</v>
      </c>
      <c r="L3" s="18" t="s">
        <v>64</v>
      </c>
      <c r="M3" s="18" t="s">
        <v>4</v>
      </c>
      <c r="N3" s="18" t="s">
        <v>5</v>
      </c>
      <c r="O3" s="18" t="s">
        <v>6</v>
      </c>
      <c r="P3" s="18" t="s">
        <v>7</v>
      </c>
      <c r="Q3" s="13" t="s">
        <v>9</v>
      </c>
      <c r="R3" s="62" t="s">
        <v>41</v>
      </c>
      <c r="S3" s="63" t="s">
        <v>50</v>
      </c>
      <c r="T3" s="65">
        <v>18</v>
      </c>
    </row>
    <row r="4" spans="2:21" x14ac:dyDescent="0.25">
      <c r="B4" t="s">
        <v>31</v>
      </c>
      <c r="C4" s="52">
        <v>40780</v>
      </c>
      <c r="D4" s="52">
        <v>48400</v>
      </c>
      <c r="E4" s="52">
        <v>59125</v>
      </c>
      <c r="F4" s="52">
        <v>59125</v>
      </c>
      <c r="K4" t="s">
        <v>13</v>
      </c>
      <c r="L4" s="17">
        <f>MAX(M4:P5)</f>
        <v>40780</v>
      </c>
      <c r="M4" s="15">
        <f>IF(SalaryCheckHome!$C$16="BA",C4,0)</f>
        <v>40780</v>
      </c>
      <c r="N4" s="15">
        <f>IF(SalaryCheckHome!$C$16="MA",D4,0)</f>
        <v>0</v>
      </c>
      <c r="O4" s="15">
        <f>IF(SalaryCheckHome!$C$16="EDSpec",E4,0)</f>
        <v>0</v>
      </c>
      <c r="P4" s="15">
        <f>IF(SalaryCheckHome!$C$16="Doc",F4,0)</f>
        <v>0</v>
      </c>
    </row>
    <row r="5" spans="2:21" x14ac:dyDescent="0.25">
      <c r="B5" t="s">
        <v>38</v>
      </c>
      <c r="C5" s="56">
        <f>C4+C6</f>
        <v>41155</v>
      </c>
      <c r="D5" s="56">
        <f t="shared" ref="D5:F5" si="0">D4+D6</f>
        <v>49233</v>
      </c>
      <c r="E5" s="56">
        <f t="shared" si="0"/>
        <v>59978</v>
      </c>
      <c r="F5" s="56">
        <f t="shared" si="0"/>
        <v>59998</v>
      </c>
      <c r="K5" t="s">
        <v>8</v>
      </c>
      <c r="L5" s="16">
        <f>MAX(M5:P6)</f>
        <v>375</v>
      </c>
      <c r="M5" s="15">
        <f>IF(SalaryCheckHome!$C$16="BA",C6,0)</f>
        <v>375</v>
      </c>
      <c r="N5" s="15">
        <f>IF(SalaryCheckHome!$C$16="MA",D6,0)</f>
        <v>0</v>
      </c>
      <c r="O5" s="15">
        <f>IF(SalaryCheckHome!$C$16="EDSpec",E6,0)</f>
        <v>0</v>
      </c>
      <c r="P5" s="15">
        <f>IF(SalaryCheckHome!$C$16="Doc",F6,0)</f>
        <v>0</v>
      </c>
    </row>
    <row r="6" spans="2:21" x14ac:dyDescent="0.25">
      <c r="B6" t="s">
        <v>32</v>
      </c>
      <c r="C6" s="52">
        <v>375</v>
      </c>
      <c r="D6" s="52">
        <v>833</v>
      </c>
      <c r="E6" s="52">
        <v>853</v>
      </c>
      <c r="F6" s="52">
        <v>873</v>
      </c>
      <c r="K6" t="s">
        <v>10</v>
      </c>
      <c r="L6" s="1">
        <f>MIN(Q6:R6)</f>
        <v>2</v>
      </c>
      <c r="M6">
        <f>IF(SalaryCheckHome!$C$16="BA",C7,0)</f>
        <v>8</v>
      </c>
      <c r="N6">
        <f>IF(SalaryCheckHome!$C$16="MA",D7,0)</f>
        <v>0</v>
      </c>
      <c r="O6">
        <f>IF(SalaryCheckHome!$C$16="EDSpec",E7,0)</f>
        <v>0</v>
      </c>
      <c r="P6">
        <f>IF(SalaryCheckHome!$C$16="Doc",F7,0)</f>
        <v>0</v>
      </c>
      <c r="Q6" s="13">
        <f>MAX(M6:P6)</f>
        <v>8</v>
      </c>
      <c r="R6" s="60">
        <f>SalaryCheckHome!G11</f>
        <v>2</v>
      </c>
    </row>
    <row r="7" spans="2:21" x14ac:dyDescent="0.25">
      <c r="B7" t="s">
        <v>33</v>
      </c>
      <c r="C7" s="13">
        <v>8</v>
      </c>
      <c r="D7" s="13">
        <v>13</v>
      </c>
      <c r="E7" s="13">
        <v>13</v>
      </c>
      <c r="F7" s="13">
        <v>13</v>
      </c>
      <c r="K7" t="s">
        <v>11</v>
      </c>
      <c r="L7" s="1">
        <f>MIN(Q7:R7)</f>
        <v>6</v>
      </c>
      <c r="M7">
        <f>IF(SalaryCheckHome!$C$16="BA",C8,0)</f>
        <v>8</v>
      </c>
      <c r="N7">
        <f>IF(SalaryCheckHome!$C$16="MA",D8,0)</f>
        <v>0</v>
      </c>
      <c r="O7">
        <f>IF(SalaryCheckHome!$C$16="EDSpec",E8,0)</f>
        <v>0</v>
      </c>
      <c r="P7">
        <f>IF(SalaryCheckHome!$C$16="Doc",F8,0)</f>
        <v>0</v>
      </c>
      <c r="Q7" s="13">
        <f>MAX(M7:P7)</f>
        <v>8</v>
      </c>
      <c r="R7" s="60">
        <f>L6+SalaryCheckHome!C11</f>
        <v>6</v>
      </c>
    </row>
    <row r="8" spans="2:21" x14ac:dyDescent="0.25">
      <c r="B8" t="s">
        <v>34</v>
      </c>
      <c r="C8" s="13">
        <v>8</v>
      </c>
      <c r="D8" s="13">
        <v>25</v>
      </c>
      <c r="E8" s="13">
        <v>25</v>
      </c>
      <c r="F8" s="13">
        <v>25</v>
      </c>
      <c r="K8" t="s">
        <v>12</v>
      </c>
      <c r="L8" s="17">
        <f>L5*L7</f>
        <v>2250</v>
      </c>
    </row>
    <row r="9" spans="2:21" x14ac:dyDescent="0.25">
      <c r="K9" t="s">
        <v>14</v>
      </c>
      <c r="L9" s="1">
        <f>MIN(Q9:U9)</f>
        <v>0</v>
      </c>
      <c r="M9">
        <f>IF(SalaryCheckHome!$C$16="BA",C11,0)</f>
        <v>39</v>
      </c>
      <c r="N9">
        <f>IF(SalaryCheckHome!$C$16="MA",D11,0)</f>
        <v>0</v>
      </c>
      <c r="O9">
        <f>IF(SalaryCheckHome!$C$16="EDSpec",E11,0)</f>
        <v>0</v>
      </c>
      <c r="P9">
        <f>IF(SalaryCheckHome!$C$16="Doc",F11,0)</f>
        <v>0</v>
      </c>
      <c r="Q9" s="13">
        <f>MAX(M9:P9)</f>
        <v>39</v>
      </c>
      <c r="R9" s="62">
        <f>SalaryCheckHome!G16</f>
        <v>0</v>
      </c>
      <c r="S9" s="13"/>
      <c r="T9" s="13"/>
      <c r="U9" s="13"/>
    </row>
    <row r="10" spans="2:21" x14ac:dyDescent="0.25">
      <c r="B10" t="s">
        <v>35</v>
      </c>
      <c r="C10" s="52">
        <v>190</v>
      </c>
      <c r="D10" s="52">
        <v>275</v>
      </c>
      <c r="E10" s="52">
        <v>275</v>
      </c>
      <c r="F10" s="52">
        <v>275</v>
      </c>
      <c r="K10" t="s">
        <v>15</v>
      </c>
      <c r="L10" s="16">
        <f>MAX(M10:P11)</f>
        <v>190</v>
      </c>
      <c r="M10" s="15">
        <f>IF(SalaryCheckHome!$C$16="BA",C10,0)</f>
        <v>190</v>
      </c>
      <c r="N10" s="15">
        <f>IF(SalaryCheckHome!$C$16="MA",D10,0)</f>
        <v>0</v>
      </c>
      <c r="O10" s="15">
        <f>IF(SalaryCheckHome!$C$16="EDSpec",E10,0)</f>
        <v>0</v>
      </c>
      <c r="P10" s="15">
        <f>IF(SalaryCheckHome!$C$16="Doc",F10,0)</f>
        <v>0</v>
      </c>
    </row>
    <row r="11" spans="2:21" x14ac:dyDescent="0.25">
      <c r="B11" t="s">
        <v>36</v>
      </c>
      <c r="C11" s="13">
        <v>39</v>
      </c>
      <c r="D11" s="13">
        <v>39</v>
      </c>
      <c r="E11" s="13">
        <v>3</v>
      </c>
      <c r="F11" s="13">
        <v>3</v>
      </c>
      <c r="K11" t="s">
        <v>16</v>
      </c>
      <c r="L11" s="20">
        <f>L10*L9</f>
        <v>0</v>
      </c>
    </row>
    <row r="12" spans="2:21" x14ac:dyDescent="0.25">
      <c r="K12" t="s">
        <v>17</v>
      </c>
      <c r="L12" s="20">
        <f>L11+L8+L4</f>
        <v>43030</v>
      </c>
    </row>
    <row r="13" spans="2:21" x14ac:dyDescent="0.25">
      <c r="B13" t="s">
        <v>37</v>
      </c>
      <c r="C13" s="54">
        <v>0</v>
      </c>
      <c r="K13" t="s">
        <v>18</v>
      </c>
      <c r="L13" s="21">
        <f>SalaryCheckHome!C19</f>
        <v>1</v>
      </c>
    </row>
    <row r="14" spans="2:21" x14ac:dyDescent="0.25">
      <c r="K14" t="s">
        <v>19</v>
      </c>
      <c r="L14" s="1">
        <f>SalaryCheckHome!G19</f>
        <v>0</v>
      </c>
    </row>
    <row r="15" spans="2:21" x14ac:dyDescent="0.25">
      <c r="K15" t="s">
        <v>20</v>
      </c>
      <c r="L15" s="17">
        <f>(L12*L13)+((L12/192)*L14)</f>
        <v>43030</v>
      </c>
    </row>
    <row r="16" spans="2:21" x14ac:dyDescent="0.25">
      <c r="L16" s="15"/>
    </row>
    <row r="17" spans="2:22" x14ac:dyDescent="0.25">
      <c r="K17" t="s">
        <v>51</v>
      </c>
      <c r="L17" s="16">
        <f>SalaryCheckHome!C7</f>
        <v>42425</v>
      </c>
    </row>
    <row r="18" spans="2:22" x14ac:dyDescent="0.25">
      <c r="K18" t="s">
        <v>54</v>
      </c>
      <c r="L18" s="16">
        <f>L15</f>
        <v>43030</v>
      </c>
    </row>
    <row r="19" spans="2:22" x14ac:dyDescent="0.25">
      <c r="K19" t="s">
        <v>55</v>
      </c>
      <c r="L19" s="16">
        <f>L17+C13</f>
        <v>42425</v>
      </c>
    </row>
    <row r="20" spans="2:22" x14ac:dyDescent="0.25">
      <c r="K20" t="s">
        <v>56</v>
      </c>
      <c r="L20" s="17">
        <f>MAX(L18:L19)</f>
        <v>43030</v>
      </c>
      <c r="M20" s="25">
        <f>(L20/L17)-1</f>
        <v>1.4260459634649392E-2</v>
      </c>
    </row>
    <row r="21" spans="2:22" x14ac:dyDescent="0.25">
      <c r="M21" s="25"/>
    </row>
    <row r="23" spans="2:22" x14ac:dyDescent="0.25">
      <c r="K23" s="11"/>
      <c r="L23" s="11"/>
      <c r="M23" s="11"/>
      <c r="N23" s="11"/>
      <c r="O23" s="11"/>
      <c r="P23" s="11"/>
      <c r="Q23" s="53"/>
      <c r="R23" s="53"/>
      <c r="S23" s="61"/>
    </row>
    <row r="24" spans="2:22" ht="60" x14ac:dyDescent="0.25">
      <c r="C24" s="13" t="s">
        <v>4</v>
      </c>
      <c r="D24" s="13" t="s">
        <v>5</v>
      </c>
      <c r="E24" s="13" t="s">
        <v>6</v>
      </c>
      <c r="F24" s="13" t="s">
        <v>7</v>
      </c>
      <c r="L24" s="18" t="str">
        <f>L3</f>
        <v>2023-24</v>
      </c>
      <c r="M24" s="18" t="s">
        <v>4</v>
      </c>
      <c r="N24" s="18" t="s">
        <v>5</v>
      </c>
      <c r="O24" s="18" t="s">
        <v>6</v>
      </c>
      <c r="P24" s="18" t="s">
        <v>7</v>
      </c>
      <c r="Q24" s="13" t="s">
        <v>9</v>
      </c>
      <c r="R24" s="62" t="s">
        <v>47</v>
      </c>
      <c r="S24" s="63" t="s">
        <v>48</v>
      </c>
      <c r="T24" s="64" t="s">
        <v>49</v>
      </c>
      <c r="U24" s="64" t="s">
        <v>46</v>
      </c>
      <c r="V24" s="64" t="s">
        <v>40</v>
      </c>
    </row>
    <row r="25" spans="2:22" x14ac:dyDescent="0.25">
      <c r="B25" t="s">
        <v>31</v>
      </c>
      <c r="C25" s="52">
        <f>C4</f>
        <v>40780</v>
      </c>
      <c r="D25" s="52">
        <f>D4</f>
        <v>48400</v>
      </c>
      <c r="E25" s="52">
        <f>E4</f>
        <v>59125</v>
      </c>
      <c r="F25" s="52">
        <f>F4</f>
        <v>59125</v>
      </c>
      <c r="K25" t="s">
        <v>13</v>
      </c>
      <c r="L25" s="17">
        <f>MAX(M25:P26)</f>
        <v>40780</v>
      </c>
      <c r="M25" s="15">
        <f>IF(SalaryCheckHome!$C$40="BA",C25,0)</f>
        <v>40780</v>
      </c>
      <c r="N25" s="15">
        <f>IF(SalaryCheckHome!$C$40="MA",D25,0)</f>
        <v>0</v>
      </c>
      <c r="O25" s="15">
        <f>IF(SalaryCheckHome!$C$40="EDSpec",E25,0)</f>
        <v>0</v>
      </c>
      <c r="P25" s="15">
        <f>IF(SalaryCheckHome!$C$40="Doc",F25,0)</f>
        <v>0</v>
      </c>
      <c r="R25"/>
      <c r="S25" s="60"/>
    </row>
    <row r="26" spans="2:22" x14ac:dyDescent="0.25">
      <c r="C26" s="52"/>
      <c r="D26" s="52"/>
      <c r="E26" s="52"/>
      <c r="F26" s="52"/>
      <c r="K26" t="s">
        <v>8</v>
      </c>
      <c r="L26" s="16">
        <f>MAX(M26:P27)</f>
        <v>375</v>
      </c>
      <c r="M26" s="15">
        <f>IF(SalaryCheckHome!$C$40="BA",C27,0)</f>
        <v>375</v>
      </c>
      <c r="N26" s="15">
        <f>IF(SalaryCheckHome!$C$40="MA",D27,0)</f>
        <v>0</v>
      </c>
      <c r="O26" s="15">
        <f>IF(SalaryCheckHome!$C$40="EDSpec",E27,0)</f>
        <v>0</v>
      </c>
      <c r="P26" s="15">
        <f>IF(SalaryCheckHome!$C$40="Doc",F27,0)</f>
        <v>0</v>
      </c>
      <c r="R26"/>
      <c r="S26" s="60"/>
    </row>
    <row r="27" spans="2:22" x14ac:dyDescent="0.25">
      <c r="B27" t="s">
        <v>32</v>
      </c>
      <c r="C27" s="52">
        <f t="shared" ref="C27:F29" si="1">C6</f>
        <v>375</v>
      </c>
      <c r="D27" s="52">
        <f t="shared" si="1"/>
        <v>833</v>
      </c>
      <c r="E27" s="52">
        <f t="shared" si="1"/>
        <v>853</v>
      </c>
      <c r="F27" s="52">
        <f t="shared" si="1"/>
        <v>873</v>
      </c>
      <c r="K27" t="s">
        <v>10</v>
      </c>
      <c r="L27" s="1">
        <f>L6</f>
        <v>2</v>
      </c>
      <c r="R27"/>
      <c r="S27" s="60"/>
    </row>
    <row r="28" spans="2:22" x14ac:dyDescent="0.25">
      <c r="B28" t="s">
        <v>33</v>
      </c>
      <c r="C28" s="55">
        <f t="shared" si="1"/>
        <v>8</v>
      </c>
      <c r="D28" s="55">
        <f t="shared" si="1"/>
        <v>13</v>
      </c>
      <c r="E28" s="55">
        <f t="shared" si="1"/>
        <v>13</v>
      </c>
      <c r="F28" s="55">
        <f t="shared" si="1"/>
        <v>13</v>
      </c>
      <c r="K28" t="s">
        <v>11</v>
      </c>
      <c r="L28" s="1">
        <f>L7</f>
        <v>6</v>
      </c>
      <c r="R28"/>
      <c r="S28" s="60"/>
    </row>
    <row r="29" spans="2:22" x14ac:dyDescent="0.25">
      <c r="B29" t="s">
        <v>34</v>
      </c>
      <c r="C29" s="55">
        <f t="shared" si="1"/>
        <v>8</v>
      </c>
      <c r="D29" s="55">
        <f t="shared" si="1"/>
        <v>25</v>
      </c>
      <c r="E29" s="55">
        <f t="shared" si="1"/>
        <v>25</v>
      </c>
      <c r="F29" s="55">
        <f t="shared" si="1"/>
        <v>25</v>
      </c>
      <c r="K29" t="s">
        <v>12</v>
      </c>
      <c r="L29" s="17">
        <f>L26*L28</f>
        <v>2250</v>
      </c>
      <c r="R29"/>
      <c r="S29" s="60"/>
    </row>
    <row r="30" spans="2:22" x14ac:dyDescent="0.25">
      <c r="C30" s="52"/>
      <c r="D30" s="52"/>
      <c r="E30" s="52"/>
      <c r="F30" s="52"/>
      <c r="K30" t="s">
        <v>14</v>
      </c>
      <c r="L30" s="1">
        <f>MIN(Q30:R30)</f>
        <v>0</v>
      </c>
      <c r="M30">
        <f>IF(SalaryCheckHome!$C$40="BA",C32,0)</f>
        <v>39</v>
      </c>
      <c r="N30">
        <f>IF(SalaryCheckHome!$C$40="MA",D32,0)</f>
        <v>0</v>
      </c>
      <c r="O30">
        <f>IF(SalaryCheckHome!$C$40="EDSpec",E32,0)</f>
        <v>0</v>
      </c>
      <c r="P30">
        <f>IF(SalaryCheckHome!$C$40="Doc",F32,0)</f>
        <v>0</v>
      </c>
      <c r="Q30" s="13">
        <f>MAX(M30:P30)</f>
        <v>39</v>
      </c>
      <c r="R30" s="13">
        <f>MAX(Q309,V30)</f>
        <v>0</v>
      </c>
      <c r="S30" s="63">
        <f>SalaryCheckHome!G40</f>
        <v>0</v>
      </c>
      <c r="T30" s="59">
        <f>(S30-R9)</f>
        <v>0</v>
      </c>
      <c r="U30" s="59">
        <f>MIN((T30+R9),(R9+18))</f>
        <v>0</v>
      </c>
      <c r="V30" s="59">
        <f xml:space="preserve"> IF(U30=0,0,IF(U30&gt;39,39,IF(U30&gt;=36,36,IF(U30=36,36,(IF(U30&gt;=27,27,(IF(U30&gt;=18,18,(IF(U30&gt;=9,9,0))))))))))</f>
        <v>0</v>
      </c>
    </row>
    <row r="31" spans="2:22" x14ac:dyDescent="0.25">
      <c r="B31" t="s">
        <v>35</v>
      </c>
      <c r="C31" s="52">
        <f t="shared" ref="C31:F32" si="2">C10</f>
        <v>190</v>
      </c>
      <c r="D31" s="52">
        <f t="shared" si="2"/>
        <v>275</v>
      </c>
      <c r="E31" s="52">
        <f t="shared" si="2"/>
        <v>275</v>
      </c>
      <c r="F31" s="52">
        <f t="shared" si="2"/>
        <v>275</v>
      </c>
      <c r="K31" t="s">
        <v>15</v>
      </c>
      <c r="L31" s="16">
        <f>MAX(M31:P32)</f>
        <v>190</v>
      </c>
      <c r="M31" s="15">
        <f>IF(SalaryCheckHome!$C$40="BA",C31,0)</f>
        <v>190</v>
      </c>
      <c r="N31" s="15">
        <f>IF(SalaryCheckHome!$C$40="MA",D31,0)</f>
        <v>0</v>
      </c>
      <c r="O31" s="15">
        <f>IF(SalaryCheckHome!$C$40="EDSpec",E31,0)</f>
        <v>0</v>
      </c>
      <c r="P31" s="15">
        <f>IF(SalaryCheckHome!$C$40="Doc",F31,0)</f>
        <v>0</v>
      </c>
      <c r="R31" s="13"/>
      <c r="S31" s="60"/>
    </row>
    <row r="32" spans="2:22" x14ac:dyDescent="0.25">
      <c r="B32" t="s">
        <v>36</v>
      </c>
      <c r="C32" s="55">
        <f t="shared" si="2"/>
        <v>39</v>
      </c>
      <c r="D32" s="55">
        <f t="shared" si="2"/>
        <v>39</v>
      </c>
      <c r="E32" s="55">
        <f t="shared" si="2"/>
        <v>3</v>
      </c>
      <c r="F32" s="55">
        <f t="shared" si="2"/>
        <v>3</v>
      </c>
      <c r="K32" t="s">
        <v>16</v>
      </c>
      <c r="L32" s="20">
        <f>L31*L30</f>
        <v>0</v>
      </c>
      <c r="R32" s="13"/>
      <c r="S32" s="60"/>
    </row>
    <row r="33" spans="2:19" x14ac:dyDescent="0.25">
      <c r="C33" s="52"/>
      <c r="D33" s="52"/>
      <c r="E33" s="52"/>
      <c r="F33" s="52"/>
      <c r="K33" t="s">
        <v>17</v>
      </c>
      <c r="L33" s="20">
        <f>L32+L29+L25</f>
        <v>43030</v>
      </c>
      <c r="R33" s="13"/>
      <c r="S33" s="60"/>
    </row>
    <row r="34" spans="2:19" x14ac:dyDescent="0.25">
      <c r="B34" t="s">
        <v>37</v>
      </c>
      <c r="C34" s="52">
        <f>C13</f>
        <v>0</v>
      </c>
      <c r="D34" s="52">
        <f>D13</f>
        <v>0</v>
      </c>
      <c r="E34" s="52">
        <f>E13</f>
        <v>0</v>
      </c>
      <c r="F34" s="52">
        <f>F13</f>
        <v>0</v>
      </c>
      <c r="K34" t="s">
        <v>18</v>
      </c>
      <c r="L34" s="21">
        <f>L13</f>
        <v>1</v>
      </c>
      <c r="R34" s="13"/>
      <c r="S34" s="60"/>
    </row>
    <row r="35" spans="2:19" x14ac:dyDescent="0.25">
      <c r="K35" t="s">
        <v>19</v>
      </c>
      <c r="L35" s="1">
        <f>L14</f>
        <v>0</v>
      </c>
      <c r="R35" s="13"/>
      <c r="S35" s="60"/>
    </row>
    <row r="36" spans="2:19" x14ac:dyDescent="0.25">
      <c r="K36" t="s">
        <v>20</v>
      </c>
      <c r="L36" s="17">
        <f>(L33*L34)+((L33/192)*L35)</f>
        <v>43030</v>
      </c>
      <c r="R36" s="13"/>
      <c r="S36" s="60"/>
    </row>
    <row r="37" spans="2:19" x14ac:dyDescent="0.25">
      <c r="L37" s="15"/>
      <c r="R37" s="13"/>
      <c r="S37" s="60"/>
    </row>
    <row r="38" spans="2:19" x14ac:dyDescent="0.25">
      <c r="L38" s="16"/>
      <c r="R38" s="13"/>
      <c r="S38" s="60"/>
    </row>
    <row r="39" spans="2:19" x14ac:dyDescent="0.25">
      <c r="L39" s="16"/>
      <c r="R39" s="13"/>
      <c r="S39" s="60"/>
    </row>
    <row r="40" spans="2:19" x14ac:dyDescent="0.25">
      <c r="L40" s="16"/>
      <c r="R40" s="13"/>
      <c r="S40" s="60"/>
    </row>
    <row r="41" spans="2:19" x14ac:dyDescent="0.25">
      <c r="K41" t="s">
        <v>51</v>
      </c>
      <c r="L41" s="17">
        <f>MAX(L36,L20)</f>
        <v>43030</v>
      </c>
      <c r="M41" s="25">
        <f>(L41/L20)-1</f>
        <v>0</v>
      </c>
      <c r="R41" s="13"/>
      <c r="S41" s="60"/>
    </row>
    <row r="42" spans="2:19" x14ac:dyDescent="0.25">
      <c r="R42" s="13"/>
      <c r="S42" s="60"/>
    </row>
    <row r="43" spans="2:19" x14ac:dyDescent="0.25">
      <c r="R43" s="13"/>
      <c r="S43" s="60"/>
    </row>
    <row r="44" spans="2:19" x14ac:dyDescent="0.25">
      <c r="R44" s="13"/>
      <c r="S44" s="60"/>
    </row>
    <row r="45" spans="2:19" x14ac:dyDescent="0.25">
      <c r="R45" s="13"/>
      <c r="S45" s="60"/>
    </row>
    <row r="46" spans="2:19" x14ac:dyDescent="0.25">
      <c r="R46" s="13"/>
      <c r="S46" s="60"/>
    </row>
    <row r="47" spans="2:19" x14ac:dyDescent="0.25">
      <c r="R47" s="13"/>
      <c r="S47" s="60"/>
    </row>
    <row r="48" spans="2:19" x14ac:dyDescent="0.25">
      <c r="R48" s="13"/>
      <c r="S48" s="60"/>
    </row>
    <row r="49" spans="18:19" x14ac:dyDescent="0.25">
      <c r="R49" s="13"/>
      <c r="S49" s="60"/>
    </row>
    <row r="50" spans="18:19" x14ac:dyDescent="0.25">
      <c r="R50" s="13"/>
      <c r="S50" s="60"/>
    </row>
  </sheetData>
  <sheetProtection algorithmName="SHA-512" hashValue="UKSV6jvbL4FrxtIL6Wosr2Cgl4uhztxPeEX5HvUjRYGHNdU9EdrO2TVkoRDvzH6bU8P88ZB2l9m8ihj+SNmOnQ==" saltValue="BMR6thSxtSMRLqJvtG7dmA==" spinCount="100000" sheet="1" selectLockedCells="1" selectUnlockedCells="1"/>
  <mergeCells count="1">
    <mergeCell ref="B1:F1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SalaryCheckHome</vt:lpstr>
      <vt:lpstr>Sheet2</vt:lpstr>
      <vt:lpstr>Sheet3</vt:lpstr>
      <vt:lpstr>Degree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2013-06-13T14:12:02Z</dcterms:created>
  <dcterms:modified xsi:type="dcterms:W3CDTF">2023-03-20T23:48:39Z</dcterms:modified>
</cp:coreProperties>
</file>